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 yWindow="4452" windowWidth="19140" windowHeight="4356" tabRatio="895"/>
  </bookViews>
  <sheets>
    <sheet name="Contents" sheetId="15" r:id="rId1"/>
    <sheet name="Preface" sheetId="18" r:id="rId2"/>
    <sheet name="Gazprom globaly" sheetId="16" r:id="rId3"/>
    <sheet name="Macroeconomics" sheetId="12" r:id="rId4"/>
    <sheet name="Indicators" sheetId="17" r:id="rId5"/>
    <sheet name="Reserves classification" sheetId="19" r:id="rId6"/>
    <sheet name="Total reserves" sheetId="1" r:id="rId7"/>
    <sheet name="Subsidiaries' reserves" sheetId="2" r:id="rId8"/>
    <sheet name="Reserves set out by regions" sheetId="3" r:id="rId9"/>
    <sheet name="Change in reserves" sheetId="4" r:id="rId10"/>
    <sheet name="Licenses" sheetId="50" r:id="rId11"/>
    <sheet name="Total production" sheetId="24" r:id="rId12"/>
    <sheet name="Gas production (Q)" sheetId="25" r:id="rId13"/>
    <sheet name="Liquid hydrocarbons prod (Q)" sheetId="26" r:id="rId14"/>
    <sheet name="Production set out by regions" sheetId="14" r:id="rId15"/>
    <sheet name="Exploration and drilling" sheetId="5" r:id="rId16"/>
    <sheet name="Foreighn projects" sheetId="110" r:id="rId17"/>
    <sheet name="Russian projects" sheetId="111" r:id="rId18"/>
    <sheet name="Transportation" sheetId="8" r:id="rId19"/>
    <sheet name="Transportation projects" sheetId="112" r:id="rId20"/>
    <sheet name="UGSF" sheetId="9" r:id="rId21"/>
    <sheet name="Refining" sheetId="75" r:id="rId22"/>
    <sheet name="Refining - subsidiaries" sheetId="79" r:id="rId23"/>
    <sheet name="Refineries, processing plants" sheetId="113" r:id="rId24"/>
    <sheet name="Electric power" sheetId="83" r:id="rId25"/>
    <sheet name="Gas sales" sheetId="87" r:id="rId26"/>
    <sheet name="Gas market in Russia" sheetId="95" r:id="rId27"/>
    <sheet name="Sales of liquid hydrocarbons" sheetId="93" r:id="rId28"/>
    <sheet name="Other sales (electr., transp.)" sheetId="102" r:id="rId29"/>
    <sheet name="Ecology" sheetId="105" r:id="rId30"/>
    <sheet name="Personnel" sheetId="107" r:id="rId31"/>
    <sheet name="Convertion table" sheetId="114" r:id="rId32"/>
    <sheet name="Glossary" sheetId="115" r:id="rId33"/>
  </sheets>
  <definedNames>
    <definedName name="_Toc166922594" localSheetId="30">Personnel!$A$1</definedName>
    <definedName name="_Toc260216930" localSheetId="31">'Convertion table'!$A$1</definedName>
    <definedName name="_Toc260216931" localSheetId="32">Glossary!$A$1</definedName>
    <definedName name="_Toc261606054" localSheetId="2">'Gazprom globaly'!$A$1</definedName>
    <definedName name="_Toc261606055" localSheetId="3">Macroeconomics!$A$2</definedName>
    <definedName name="_Toc261606056" localSheetId="4">Indicators!$A$1</definedName>
    <definedName name="_Toc261618112" localSheetId="4">Indicators!$A$1</definedName>
    <definedName name="_Toc261618113" localSheetId="5">'Reserves classification'!$A$1</definedName>
    <definedName name="_Toc262475146" localSheetId="10">Licenses!$A$1</definedName>
    <definedName name="_Toc262475148" localSheetId="15">'Exploration and drilling'!$A$1</definedName>
    <definedName name="_Toc262475151" localSheetId="18">Transportation!$A$1</definedName>
    <definedName name="_Toc262475153" localSheetId="20">UGSF!$A$1</definedName>
    <definedName name="_Toc262475155" localSheetId="21">Refining!$A$1</definedName>
    <definedName name="_Toc262475156" localSheetId="24">'Electric power'!$A$1</definedName>
    <definedName name="_Toc262475157" localSheetId="25">'Gas sales'!$A$1</definedName>
    <definedName name="_Toc262475158" localSheetId="26">'Gas market in Russia'!$A$29</definedName>
    <definedName name="_Toc262475159" localSheetId="27">'Sales of liquid hydrocarbons'!$A$1</definedName>
    <definedName name="_Toc262475160" localSheetId="28">'Other sales (electr., transp.)'!$A$1</definedName>
    <definedName name="_Toc262475161" localSheetId="29">Ecology!$A$1</definedName>
    <definedName name="_Toc262629692" localSheetId="11">'Total production'!#REF!</definedName>
    <definedName name="_Toc262629694" localSheetId="16">'Foreighn projects'!$A$1</definedName>
    <definedName name="_Toc263068580" localSheetId="17">'Russian projects'!$A$1</definedName>
    <definedName name="_Toc263428332" localSheetId="17">'Russian projects'!$A$1</definedName>
    <definedName name="_Toc263428334" localSheetId="19">'Transportation projects'!$A$1</definedName>
    <definedName name="OLE_LINK46" localSheetId="17">'Russian projects'!$A$13</definedName>
    <definedName name="OLE_LINK5" localSheetId="30">Personnel!$A$2</definedName>
    <definedName name="OLE_LINK8" localSheetId="25">'Gas sales'!#REF!</definedName>
    <definedName name="_xlnm.Print_Titles" localSheetId="9">'Change in reserves'!$2:$3</definedName>
    <definedName name="_xlnm.Print_Titles" localSheetId="16">'Foreighn projects'!$2:$2</definedName>
    <definedName name="_xlnm.Print_Titles" localSheetId="10">Licenses!$10:$10</definedName>
    <definedName name="_xlnm.Print_Titles" localSheetId="13">'Liquid hydrocarbons prod (Q)'!$19:$21</definedName>
    <definedName name="_xlnm.Print_Titles" localSheetId="23">'Refineries, processing plants'!$13:$13</definedName>
    <definedName name="_xlnm.Print_Titles" localSheetId="8">'Reserves set out by regions'!$32:$32</definedName>
    <definedName name="_xlnm.Print_Titles" localSheetId="17">'Russian projects'!$13:$13</definedName>
    <definedName name="_xlnm.Print_Titles" localSheetId="19">'Transportation projects'!$14:$15</definedName>
    <definedName name="_xlnm.Print_Area" localSheetId="9">'Change in reserves'!$A$1:$N$65</definedName>
    <definedName name="_xlnm.Print_Area" localSheetId="0">Contents!$A$1:$B$49</definedName>
    <definedName name="_xlnm.Print_Area" localSheetId="31">'Convertion table'!$A$1:$C$20</definedName>
    <definedName name="_xlnm.Print_Area" localSheetId="29">Ecology!$A$1:$G$42</definedName>
    <definedName name="_xlnm.Print_Area" localSheetId="24">'Electric power'!$A$1:$G$39</definedName>
    <definedName name="_xlnm.Print_Area" localSheetId="15">'Exploration and drilling'!$A$1:$G$72</definedName>
    <definedName name="_xlnm.Print_Area" localSheetId="16">'Foreighn projects'!$A$1:$F$43</definedName>
    <definedName name="_xlnm.Print_Area" localSheetId="26">'Gas market in Russia'!$A$1:$G$44</definedName>
    <definedName name="_xlnm.Print_Area" localSheetId="12">'Gas production (Q)'!$A$1:$U$35</definedName>
    <definedName name="_xlnm.Print_Area" localSheetId="25">'Gas sales'!$A$1:$F$91</definedName>
    <definedName name="_xlnm.Print_Area" localSheetId="2">'Gazprom globaly'!$A$1:$G$17</definedName>
    <definedName name="_xlnm.Print_Area" localSheetId="32">Glossary!$A$1:$B$41</definedName>
    <definedName name="_xlnm.Print_Area" localSheetId="4">Indicators!$A$1:$H$53</definedName>
    <definedName name="_xlnm.Print_Area" localSheetId="10">Licenses!$A$1:$I$63</definedName>
    <definedName name="_xlnm.Print_Area" localSheetId="13">'Liquid hydrocarbons prod (Q)'!$A$1:$U$40</definedName>
    <definedName name="_xlnm.Print_Area" localSheetId="3">Macroeconomics!$A$1:$H$39</definedName>
    <definedName name="_xlnm.Print_Area" localSheetId="28">'Other sales (electr., transp.)'!$A$1:$G$23</definedName>
    <definedName name="_xlnm.Print_Area" localSheetId="30">Personnel!$A$1:$G$40</definedName>
    <definedName name="_xlnm.Print_Area" localSheetId="1">Preface!$A$1:$A$7</definedName>
    <definedName name="_xlnm.Print_Area" localSheetId="14">'Production set out by regions'!$A$1:$U$31</definedName>
    <definedName name="_xlnm.Print_Area" localSheetId="23">'Refineries, processing plants'!$A$1:$F$34</definedName>
    <definedName name="_xlnm.Print_Area" localSheetId="21">Refining!$A$1:$G$37</definedName>
    <definedName name="_xlnm.Print_Area" localSheetId="22">'Refining - subsidiaries'!$A$1:$G$52</definedName>
    <definedName name="_xlnm.Print_Area" localSheetId="5">'Reserves classification'!$A$1:$A$20</definedName>
    <definedName name="_xlnm.Print_Area" localSheetId="8">'Reserves set out by regions'!$A$1:$U$40</definedName>
    <definedName name="_xlnm.Print_Area" localSheetId="17">'Russian projects'!$A$1:$E$42</definedName>
    <definedName name="_xlnm.Print_Area" localSheetId="27">'Sales of liquid hydrocarbons'!$A$1:$G$49</definedName>
    <definedName name="_xlnm.Print_Area" localSheetId="7">'Subsidiaries'' reserves'!$A$1:$U$67</definedName>
    <definedName name="_xlnm.Print_Area" localSheetId="11">'Total production'!$A$1:$R$36</definedName>
    <definedName name="_xlnm.Print_Area" localSheetId="6">'Total reserves'!$A$1:$U$31</definedName>
    <definedName name="_xlnm.Print_Area" localSheetId="18">Transportation!$A$1:$G$43</definedName>
    <definedName name="_xlnm.Print_Area" localSheetId="19">'Transportation projects'!$A$1:$F$32</definedName>
    <definedName name="_xlnm.Print_Area" localSheetId="20">UGSF!$A$1:$G$75</definedName>
  </definedNames>
  <calcPr calcId="125725"/>
</workbook>
</file>

<file path=xl/calcChain.xml><?xml version="1.0" encoding="utf-8"?>
<calcChain xmlns="http://schemas.openxmlformats.org/spreadsheetml/2006/main">
  <c r="G24" i="79"/>
  <c r="G33"/>
  <c r="F33"/>
  <c r="F35" i="9"/>
  <c r="E35"/>
  <c r="D35"/>
  <c r="C35"/>
  <c r="G26"/>
  <c r="G25"/>
  <c r="G24"/>
  <c r="G23"/>
  <c r="G27" s="1"/>
  <c r="F27"/>
  <c r="E27"/>
  <c r="D27"/>
  <c r="C27"/>
  <c r="G13" i="107"/>
  <c r="G36" i="105"/>
  <c r="C36"/>
  <c r="D36"/>
  <c r="E36"/>
  <c r="F36"/>
  <c r="G23"/>
  <c r="F23"/>
  <c r="E23"/>
  <c r="F12" i="102"/>
  <c r="F11"/>
  <c r="E33" i="93"/>
  <c r="G20" i="95"/>
  <c r="R24" i="2"/>
  <c r="R22"/>
  <c r="R9"/>
  <c r="R8"/>
  <c r="F53" i="4"/>
  <c r="J59" i="2"/>
  <c r="J60"/>
  <c r="M59"/>
  <c r="M60"/>
  <c r="N54"/>
  <c r="N60"/>
  <c r="N55"/>
  <c r="U12"/>
  <c r="U13"/>
  <c r="E19" i="87"/>
  <c r="G5" i="8"/>
  <c r="G33" i="5"/>
  <c r="G36" s="1"/>
  <c r="G32"/>
  <c r="G35" s="1"/>
  <c r="G31"/>
  <c r="F71" i="9"/>
  <c r="F73"/>
  <c r="F72"/>
  <c r="F70"/>
  <c r="F67"/>
  <c r="F74" s="1"/>
  <c r="G57"/>
  <c r="G62" s="1"/>
  <c r="G61"/>
  <c r="G60"/>
  <c r="G59"/>
  <c r="G58"/>
  <c r="G54"/>
  <c r="G35"/>
  <c r="K50" i="4"/>
  <c r="G59"/>
  <c r="H53"/>
  <c r="H52"/>
  <c r="G74" i="9"/>
  <c r="G22" i="102"/>
  <c r="G21"/>
  <c r="G12"/>
  <c r="G11"/>
  <c r="G45" i="93"/>
  <c r="G38"/>
  <c r="G43" s="1"/>
  <c r="G46"/>
  <c r="G47"/>
  <c r="G41"/>
  <c r="G42"/>
  <c r="G40"/>
  <c r="G33"/>
  <c r="F33"/>
  <c r="G14"/>
  <c r="G24"/>
  <c r="G22"/>
  <c r="G23"/>
  <c r="G21"/>
  <c r="G17"/>
  <c r="G18"/>
  <c r="G16"/>
  <c r="G9"/>
  <c r="F9"/>
  <c r="E14" i="87"/>
  <c r="E12"/>
  <c r="F31"/>
  <c r="F30"/>
  <c r="F35"/>
  <c r="F34"/>
  <c r="F39"/>
  <c r="F38"/>
  <c r="F19"/>
  <c r="F12"/>
  <c r="F22" s="1"/>
  <c r="F20"/>
  <c r="F21"/>
  <c r="F16"/>
  <c r="F15"/>
  <c r="F14"/>
  <c r="E70"/>
  <c r="E82"/>
  <c r="F70"/>
  <c r="F82"/>
  <c r="U14" i="2"/>
  <c r="U9"/>
  <c r="U8"/>
  <c r="Q27"/>
  <c r="N22"/>
  <c r="N28"/>
  <c r="N23" i="14"/>
  <c r="N19"/>
  <c r="U14"/>
  <c r="U12"/>
  <c r="N12"/>
  <c r="N13"/>
  <c r="N14"/>
  <c r="N15"/>
  <c r="N16"/>
  <c r="N17"/>
  <c r="N24"/>
  <c r="N20"/>
  <c r="N21"/>
  <c r="N22"/>
  <c r="U24"/>
  <c r="U21"/>
  <c r="U22"/>
  <c r="U23"/>
  <c r="U20"/>
  <c r="U19"/>
  <c r="U17"/>
  <c r="U13"/>
  <c r="U15"/>
  <c r="U16"/>
  <c r="U10"/>
  <c r="U31"/>
  <c r="U8"/>
  <c r="U9"/>
  <c r="U7"/>
  <c r="U28"/>
  <c r="U6"/>
  <c r="U27"/>
  <c r="U5"/>
  <c r="N10"/>
  <c r="N31" s="1"/>
  <c r="N7"/>
  <c r="N8"/>
  <c r="N29"/>
  <c r="N9"/>
  <c r="N5"/>
  <c r="N6"/>
  <c r="N27"/>
  <c r="N24" i="2"/>
  <c r="N23"/>
  <c r="N19"/>
  <c r="N18"/>
  <c r="N17"/>
  <c r="U7"/>
  <c r="N9"/>
  <c r="N8"/>
  <c r="N7"/>
  <c r="U6" i="25"/>
  <c r="U10"/>
  <c r="U28"/>
  <c r="N27"/>
  <c r="U18"/>
  <c r="U15"/>
  <c r="N15"/>
  <c r="N31" i="26"/>
  <c r="N32"/>
  <c r="N38" s="1"/>
  <c r="N33"/>
  <c r="N9"/>
  <c r="N15" s="1"/>
  <c r="U39"/>
  <c r="U29"/>
  <c r="U30"/>
  <c r="U36" s="1"/>
  <c r="U31"/>
  <c r="U32"/>
  <c r="U38" s="1"/>
  <c r="U33"/>
  <c r="U23"/>
  <c r="U24"/>
  <c r="U25"/>
  <c r="U26"/>
  <c r="U27"/>
  <c r="U6"/>
  <c r="U12"/>
  <c r="U7"/>
  <c r="U13"/>
  <c r="U8"/>
  <c r="U14"/>
  <c r="U9"/>
  <c r="U15"/>
  <c r="U10"/>
  <c r="U16"/>
  <c r="N39"/>
  <c r="N29"/>
  <c r="N35" s="1"/>
  <c r="N30"/>
  <c r="N23"/>
  <c r="N24"/>
  <c r="N25"/>
  <c r="N26"/>
  <c r="N27"/>
  <c r="N10"/>
  <c r="N16"/>
  <c r="N8"/>
  <c r="N14"/>
  <c r="N7"/>
  <c r="N13"/>
  <c r="N6"/>
  <c r="N12"/>
  <c r="U34" i="25"/>
  <c r="U24"/>
  <c r="U25"/>
  <c r="U26"/>
  <c r="U27"/>
  <c r="U19"/>
  <c r="U20"/>
  <c r="U21"/>
  <c r="U33" s="1"/>
  <c r="U22"/>
  <c r="U12"/>
  <c r="U30" s="1"/>
  <c r="U13"/>
  <c r="U14"/>
  <c r="U16"/>
  <c r="U7"/>
  <c r="U8"/>
  <c r="U9"/>
  <c r="N34"/>
  <c r="N26"/>
  <c r="N28"/>
  <c r="N25"/>
  <c r="N24"/>
  <c r="N22"/>
  <c r="N19"/>
  <c r="N20"/>
  <c r="N21"/>
  <c r="N18"/>
  <c r="N13"/>
  <c r="N14"/>
  <c r="N16"/>
  <c r="N12"/>
  <c r="N7"/>
  <c r="N31"/>
  <c r="N8"/>
  <c r="N9"/>
  <c r="N10"/>
  <c r="N6"/>
  <c r="N30" s="1"/>
  <c r="R29" i="24"/>
  <c r="R35" s="1"/>
  <c r="R31"/>
  <c r="R33"/>
  <c r="L29"/>
  <c r="L35" s="1"/>
  <c r="L31"/>
  <c r="L33"/>
  <c r="U55" i="2"/>
  <c r="U54"/>
  <c r="Q59"/>
  <c r="N64"/>
  <c r="N59"/>
  <c r="N63" s="1"/>
  <c r="U61"/>
  <c r="U60"/>
  <c r="U59"/>
  <c r="S60"/>
  <c r="K61"/>
  <c r="K60"/>
  <c r="L60"/>
  <c r="M61"/>
  <c r="G64"/>
  <c r="U64" s="1"/>
  <c r="G63"/>
  <c r="G65" s="1"/>
  <c r="G56"/>
  <c r="U40"/>
  <c r="U44"/>
  <c r="U39"/>
  <c r="U43"/>
  <c r="N40"/>
  <c r="N44"/>
  <c r="N39"/>
  <c r="N43"/>
  <c r="G44"/>
  <c r="G43"/>
  <c r="G41"/>
  <c r="N41"/>
  <c r="U17"/>
  <c r="U22"/>
  <c r="U28"/>
  <c r="U24"/>
  <c r="U23"/>
  <c r="U19"/>
  <c r="U18"/>
  <c r="U27"/>
  <c r="N14"/>
  <c r="N13"/>
  <c r="N27" s="1"/>
  <c r="N12"/>
  <c r="N26" s="1"/>
  <c r="N19" i="1"/>
  <c r="N7"/>
  <c r="D24" i="8"/>
  <c r="F22" s="1"/>
  <c r="G37" i="75"/>
  <c r="F37"/>
  <c r="G36"/>
  <c r="F36"/>
  <c r="G35"/>
  <c r="F35"/>
  <c r="G34"/>
  <c r="F34"/>
  <c r="G33"/>
  <c r="F33"/>
  <c r="G32"/>
  <c r="F32"/>
  <c r="G31"/>
  <c r="F31"/>
  <c r="G30"/>
  <c r="F30"/>
  <c r="G29"/>
  <c r="F29"/>
  <c r="G28"/>
  <c r="F28"/>
  <c r="G27"/>
  <c r="F27"/>
  <c r="G26"/>
  <c r="F26"/>
  <c r="G25"/>
  <c r="F25"/>
  <c r="G24"/>
  <c r="F24"/>
  <c r="G23"/>
  <c r="F23"/>
  <c r="G22"/>
  <c r="F22"/>
  <c r="G21"/>
  <c r="F21"/>
  <c r="G25" i="5"/>
  <c r="H59" i="4"/>
  <c r="G34" i="5"/>
  <c r="G45"/>
  <c r="G43"/>
  <c r="G40"/>
  <c r="U6" i="1"/>
  <c r="U5"/>
  <c r="U11"/>
  <c r="U12"/>
  <c r="U17"/>
  <c r="N5"/>
  <c r="N6"/>
  <c r="N11"/>
  <c r="N12"/>
  <c r="N17"/>
  <c r="U9"/>
  <c r="U15"/>
  <c r="U21"/>
  <c r="U8"/>
  <c r="U14"/>
  <c r="U26" s="1"/>
  <c r="U20"/>
  <c r="U7"/>
  <c r="U13"/>
  <c r="U19"/>
  <c r="N9"/>
  <c r="N15"/>
  <c r="N21"/>
  <c r="N8"/>
  <c r="N14"/>
  <c r="N20"/>
  <c r="N13"/>
  <c r="N25" s="1"/>
  <c r="I7" i="50"/>
  <c r="I6"/>
  <c r="I5"/>
  <c r="M60" i="4"/>
  <c r="L60"/>
  <c r="K60"/>
  <c r="M59"/>
  <c r="M51"/>
  <c r="M52"/>
  <c r="M53"/>
  <c r="M54"/>
  <c r="M55"/>
  <c r="M56"/>
  <c r="M57"/>
  <c r="M58"/>
  <c r="L59"/>
  <c r="L51"/>
  <c r="L52"/>
  <c r="L53"/>
  <c r="L54"/>
  <c r="L55"/>
  <c r="L56"/>
  <c r="L57"/>
  <c r="L58"/>
  <c r="K59"/>
  <c r="N59" s="1"/>
  <c r="K51"/>
  <c r="N51" s="1"/>
  <c r="K52"/>
  <c r="N52" s="1"/>
  <c r="K53"/>
  <c r="N53" s="1"/>
  <c r="K54"/>
  <c r="N54" s="1"/>
  <c r="K55"/>
  <c r="N55" s="1"/>
  <c r="K56"/>
  <c r="N56" s="1"/>
  <c r="K57"/>
  <c r="N57" s="1"/>
  <c r="K58"/>
  <c r="N58" s="1"/>
  <c r="G53"/>
  <c r="I53" s="1"/>
  <c r="G54"/>
  <c r="H54"/>
  <c r="G55"/>
  <c r="H55"/>
  <c r="G56"/>
  <c r="H56"/>
  <c r="G57"/>
  <c r="H57"/>
  <c r="G58"/>
  <c r="H58"/>
  <c r="G60"/>
  <c r="H60"/>
  <c r="F60"/>
  <c r="I60" s="1"/>
  <c r="F59"/>
  <c r="I59" s="1"/>
  <c r="F51"/>
  <c r="F52"/>
  <c r="I52"/>
  <c r="F54"/>
  <c r="I54"/>
  <c r="F55"/>
  <c r="I55"/>
  <c r="F56"/>
  <c r="I56"/>
  <c r="F57"/>
  <c r="I57"/>
  <c r="F58"/>
  <c r="I58"/>
  <c r="H51"/>
  <c r="G51"/>
  <c r="G52"/>
  <c r="H50"/>
  <c r="M50"/>
  <c r="G50"/>
  <c r="L50"/>
  <c r="N50"/>
  <c r="G41" i="5" s="1"/>
  <c r="F50" i="4"/>
  <c r="U24" i="3"/>
  <c r="U31"/>
  <c r="U30"/>
  <c r="U29"/>
  <c r="U28"/>
  <c r="U27"/>
  <c r="U26"/>
  <c r="U25"/>
  <c r="U17"/>
  <c r="U15"/>
  <c r="U22"/>
  <c r="U21"/>
  <c r="U20"/>
  <c r="U19"/>
  <c r="U18"/>
  <c r="U16"/>
  <c r="U11"/>
  <c r="U39" s="1"/>
  <c r="U5"/>
  <c r="U33" s="1"/>
  <c r="U9"/>
  <c r="U12"/>
  <c r="U40" s="1"/>
  <c r="U10"/>
  <c r="U38" s="1"/>
  <c r="U8"/>
  <c r="U36"/>
  <c r="U7"/>
  <c r="U35" s="1"/>
  <c r="U6"/>
  <c r="U34"/>
  <c r="N31"/>
  <c r="N30"/>
  <c r="N29"/>
  <c r="N28"/>
  <c r="N27"/>
  <c r="N26"/>
  <c r="N25"/>
  <c r="N24"/>
  <c r="N22"/>
  <c r="N21"/>
  <c r="N20"/>
  <c r="N19"/>
  <c r="N18"/>
  <c r="N17"/>
  <c r="N15"/>
  <c r="N16"/>
  <c r="N12"/>
  <c r="N40" s="1"/>
  <c r="N11"/>
  <c r="N39" s="1"/>
  <c r="N10"/>
  <c r="N38" s="1"/>
  <c r="N9"/>
  <c r="N37" s="1"/>
  <c r="N8"/>
  <c r="N36" s="1"/>
  <c r="N7"/>
  <c r="N35" s="1"/>
  <c r="N6"/>
  <c r="N5"/>
  <c r="N33" s="1"/>
  <c r="D11" i="102"/>
  <c r="E11"/>
  <c r="D12"/>
  <c r="E12"/>
  <c r="D21"/>
  <c r="E21"/>
  <c r="F21"/>
  <c r="D22"/>
  <c r="E22"/>
  <c r="F22"/>
  <c r="D16" i="93"/>
  <c r="E16"/>
  <c r="F16"/>
  <c r="D17"/>
  <c r="E17"/>
  <c r="F17"/>
  <c r="D18"/>
  <c r="E18"/>
  <c r="F18"/>
  <c r="D19"/>
  <c r="E19"/>
  <c r="F19"/>
  <c r="D21"/>
  <c r="E21"/>
  <c r="F21"/>
  <c r="D22"/>
  <c r="E22"/>
  <c r="F22"/>
  <c r="D23"/>
  <c r="E23"/>
  <c r="F23"/>
  <c r="D24"/>
  <c r="E24"/>
  <c r="F24"/>
  <c r="D40"/>
  <c r="E40"/>
  <c r="F40"/>
  <c r="D41"/>
  <c r="E41"/>
  <c r="F41"/>
  <c r="D42"/>
  <c r="E42"/>
  <c r="F42"/>
  <c r="D43"/>
  <c r="E43"/>
  <c r="F43"/>
  <c r="D45"/>
  <c r="E45"/>
  <c r="F45"/>
  <c r="D46"/>
  <c r="E46"/>
  <c r="F46"/>
  <c r="D47"/>
  <c r="E47"/>
  <c r="F47"/>
  <c r="D48"/>
  <c r="E48"/>
  <c r="F48"/>
  <c r="B14" i="87"/>
  <c r="C14"/>
  <c r="D14"/>
  <c r="B16"/>
  <c r="C16"/>
  <c r="D16"/>
  <c r="E16"/>
  <c r="B15"/>
  <c r="C15"/>
  <c r="D15"/>
  <c r="E15"/>
  <c r="B17"/>
  <c r="C17"/>
  <c r="D17"/>
  <c r="E17"/>
  <c r="B19"/>
  <c r="C19"/>
  <c r="D19"/>
  <c r="B21"/>
  <c r="C21"/>
  <c r="D21"/>
  <c r="E21"/>
  <c r="B20"/>
  <c r="C20"/>
  <c r="D20"/>
  <c r="E20"/>
  <c r="B22"/>
  <c r="C22"/>
  <c r="D22"/>
  <c r="E22"/>
  <c r="B30"/>
  <c r="C30"/>
  <c r="D30"/>
  <c r="E30"/>
  <c r="B31"/>
  <c r="C31"/>
  <c r="D31"/>
  <c r="E31"/>
  <c r="B38"/>
  <c r="C38"/>
  <c r="D38"/>
  <c r="E38"/>
  <c r="B39"/>
  <c r="C39"/>
  <c r="D39"/>
  <c r="E39"/>
  <c r="B34"/>
  <c r="C34"/>
  <c r="D34"/>
  <c r="E34"/>
  <c r="B35"/>
  <c r="C35"/>
  <c r="D35"/>
  <c r="E35"/>
  <c r="C13" i="17"/>
  <c r="D13"/>
  <c r="E13"/>
  <c r="F13"/>
  <c r="G13"/>
  <c r="D16"/>
  <c r="E16"/>
  <c r="F16"/>
  <c r="G16"/>
  <c r="D18"/>
  <c r="E18"/>
  <c r="F18"/>
  <c r="G18"/>
  <c r="D20"/>
  <c r="E20"/>
  <c r="F20"/>
  <c r="G20"/>
  <c r="C32"/>
  <c r="D32"/>
  <c r="E32"/>
  <c r="F32"/>
  <c r="G32"/>
  <c r="L30" i="26"/>
  <c r="L31"/>
  <c r="Q33" i="24"/>
  <c r="P33"/>
  <c r="O33"/>
  <c r="N33"/>
  <c r="K33"/>
  <c r="J33"/>
  <c r="I33"/>
  <c r="H33"/>
  <c r="Q31"/>
  <c r="P31"/>
  <c r="O31"/>
  <c r="N31"/>
  <c r="K31"/>
  <c r="J31"/>
  <c r="I31"/>
  <c r="H31"/>
  <c r="F4" i="4"/>
  <c r="G4"/>
  <c r="I4" s="1"/>
  <c r="H4"/>
  <c r="K4"/>
  <c r="L4"/>
  <c r="M4"/>
  <c r="F5"/>
  <c r="G5"/>
  <c r="H5"/>
  <c r="K5"/>
  <c r="N5" s="1"/>
  <c r="L5"/>
  <c r="M5"/>
  <c r="F6"/>
  <c r="G6"/>
  <c r="I6" s="1"/>
  <c r="H6"/>
  <c r="K6"/>
  <c r="L6"/>
  <c r="M6"/>
  <c r="N6" s="1"/>
  <c r="F7"/>
  <c r="G7"/>
  <c r="H7"/>
  <c r="K7"/>
  <c r="N7" s="1"/>
  <c r="L7"/>
  <c r="M7"/>
  <c r="F8"/>
  <c r="G8"/>
  <c r="H8"/>
  <c r="K8"/>
  <c r="L8"/>
  <c r="M8"/>
  <c r="N8" s="1"/>
  <c r="F9"/>
  <c r="G9"/>
  <c r="H9"/>
  <c r="K9"/>
  <c r="L9"/>
  <c r="M9"/>
  <c r="F10"/>
  <c r="G10"/>
  <c r="I10" s="1"/>
  <c r="H10"/>
  <c r="K10"/>
  <c r="L10"/>
  <c r="M10"/>
  <c r="N10" s="1"/>
  <c r="F11"/>
  <c r="G11"/>
  <c r="H11"/>
  <c r="K11"/>
  <c r="N11" s="1"/>
  <c r="L11"/>
  <c r="M11"/>
  <c r="F12"/>
  <c r="G12"/>
  <c r="I12" s="1"/>
  <c r="H12"/>
  <c r="K12"/>
  <c r="L12"/>
  <c r="M12"/>
  <c r="N12" s="1"/>
  <c r="F13"/>
  <c r="G13"/>
  <c r="H13"/>
  <c r="K13"/>
  <c r="N13" s="1"/>
  <c r="L13"/>
  <c r="M13"/>
  <c r="F14"/>
  <c r="G14"/>
  <c r="I14" s="1"/>
  <c r="H14"/>
  <c r="K14"/>
  <c r="L14"/>
  <c r="M14"/>
  <c r="F15"/>
  <c r="G15"/>
  <c r="H15"/>
  <c r="K15"/>
  <c r="L15"/>
  <c r="M15"/>
  <c r="F16"/>
  <c r="G16"/>
  <c r="H16"/>
  <c r="K16"/>
  <c r="L16"/>
  <c r="M16"/>
  <c r="F17"/>
  <c r="G17"/>
  <c r="H17"/>
  <c r="K17"/>
  <c r="L17"/>
  <c r="M17"/>
  <c r="F18"/>
  <c r="G18"/>
  <c r="H18"/>
  <c r="K18"/>
  <c r="L18"/>
  <c r="M18"/>
  <c r="F19"/>
  <c r="G19"/>
  <c r="H19"/>
  <c r="K19"/>
  <c r="L19"/>
  <c r="M19"/>
  <c r="F20"/>
  <c r="G20"/>
  <c r="H20"/>
  <c r="K20"/>
  <c r="L20"/>
  <c r="M20"/>
  <c r="F21"/>
  <c r="G21"/>
  <c r="H21"/>
  <c r="K21"/>
  <c r="L21"/>
  <c r="M21"/>
  <c r="F22"/>
  <c r="G22"/>
  <c r="H22"/>
  <c r="K22"/>
  <c r="L22"/>
  <c r="M22"/>
  <c r="F23"/>
  <c r="G23"/>
  <c r="H23"/>
  <c r="K23"/>
  <c r="L23"/>
  <c r="M23"/>
  <c r="F24"/>
  <c r="G24"/>
  <c r="H24"/>
  <c r="K24"/>
  <c r="L24"/>
  <c r="M24"/>
  <c r="F25"/>
  <c r="G25"/>
  <c r="H25"/>
  <c r="K25"/>
  <c r="L25"/>
  <c r="M25"/>
  <c r="F26"/>
  <c r="G26"/>
  <c r="H26"/>
  <c r="K26"/>
  <c r="L26"/>
  <c r="M26"/>
  <c r="B24" i="5"/>
  <c r="C24"/>
  <c r="D24"/>
  <c r="E24"/>
  <c r="F24"/>
  <c r="B25"/>
  <c r="C25"/>
  <c r="D25"/>
  <c r="E25"/>
  <c r="F25"/>
  <c r="B34"/>
  <c r="C34"/>
  <c r="D34"/>
  <c r="E34"/>
  <c r="F34"/>
  <c r="B35"/>
  <c r="C35"/>
  <c r="D35"/>
  <c r="E35"/>
  <c r="F35"/>
  <c r="B36"/>
  <c r="C36"/>
  <c r="D36"/>
  <c r="E36"/>
  <c r="F36"/>
  <c r="B38"/>
  <c r="C38"/>
  <c r="D38"/>
  <c r="E38"/>
  <c r="F38"/>
  <c r="B39"/>
  <c r="C39"/>
  <c r="D39"/>
  <c r="E39"/>
  <c r="F39"/>
  <c r="B40"/>
  <c r="C40"/>
  <c r="D40"/>
  <c r="E40"/>
  <c r="F40"/>
  <c r="H29" i="24"/>
  <c r="H35" s="1"/>
  <c r="I29"/>
  <c r="I35" s="1"/>
  <c r="J29"/>
  <c r="J35" s="1"/>
  <c r="K29"/>
  <c r="K35" s="1"/>
  <c r="N29"/>
  <c r="N35"/>
  <c r="O29"/>
  <c r="O35"/>
  <c r="P29"/>
  <c r="P35"/>
  <c r="Q29"/>
  <c r="Q35"/>
  <c r="I5" i="14"/>
  <c r="J5"/>
  <c r="K5"/>
  <c r="L5"/>
  <c r="M5"/>
  <c r="P5"/>
  <c r="Q5"/>
  <c r="R5"/>
  <c r="S5"/>
  <c r="T5"/>
  <c r="I6"/>
  <c r="J6"/>
  <c r="J27" s="1"/>
  <c r="K6"/>
  <c r="L6"/>
  <c r="M6"/>
  <c r="P6"/>
  <c r="Q6"/>
  <c r="R6"/>
  <c r="S6"/>
  <c r="T6"/>
  <c r="I7"/>
  <c r="J7"/>
  <c r="K7"/>
  <c r="L7"/>
  <c r="M7"/>
  <c r="P7"/>
  <c r="Q7"/>
  <c r="R7"/>
  <c r="R28" s="1"/>
  <c r="S7"/>
  <c r="T7"/>
  <c r="I8"/>
  <c r="J8"/>
  <c r="K8"/>
  <c r="L8"/>
  <c r="M8"/>
  <c r="P8"/>
  <c r="Q8"/>
  <c r="R8"/>
  <c r="S8"/>
  <c r="T8"/>
  <c r="T29" s="1"/>
  <c r="I9"/>
  <c r="J9"/>
  <c r="K9"/>
  <c r="L9"/>
  <c r="M9"/>
  <c r="P9"/>
  <c r="Q9"/>
  <c r="R9"/>
  <c r="R30" s="1"/>
  <c r="S9"/>
  <c r="T9"/>
  <c r="I10"/>
  <c r="J10"/>
  <c r="K10"/>
  <c r="L10"/>
  <c r="M10"/>
  <c r="P10"/>
  <c r="Q10"/>
  <c r="R10"/>
  <c r="S10"/>
  <c r="T10"/>
  <c r="I12"/>
  <c r="J12"/>
  <c r="K12"/>
  <c r="L12"/>
  <c r="L26" s="1"/>
  <c r="M12"/>
  <c r="P12"/>
  <c r="Q12"/>
  <c r="R12"/>
  <c r="S12"/>
  <c r="T12"/>
  <c r="T26" s="1"/>
  <c r="I13"/>
  <c r="J13"/>
  <c r="K13"/>
  <c r="L13"/>
  <c r="M13"/>
  <c r="P13"/>
  <c r="Q13"/>
  <c r="R13"/>
  <c r="S13"/>
  <c r="T13"/>
  <c r="T27" s="1"/>
  <c r="I14"/>
  <c r="J14"/>
  <c r="J28" s="1"/>
  <c r="K14"/>
  <c r="L14"/>
  <c r="M14"/>
  <c r="P14"/>
  <c r="Q14"/>
  <c r="R14"/>
  <c r="S14"/>
  <c r="T14"/>
  <c r="T28" s="1"/>
  <c r="I15"/>
  <c r="J15"/>
  <c r="J29" s="1"/>
  <c r="K15"/>
  <c r="L15"/>
  <c r="M15"/>
  <c r="P15"/>
  <c r="Q15"/>
  <c r="R15"/>
  <c r="S15"/>
  <c r="T15"/>
  <c r="I16"/>
  <c r="J16"/>
  <c r="K16"/>
  <c r="L16"/>
  <c r="L30" s="1"/>
  <c r="M16"/>
  <c r="P16"/>
  <c r="P30" s="1"/>
  <c r="Q16"/>
  <c r="R16"/>
  <c r="S16"/>
  <c r="T16"/>
  <c r="I17"/>
  <c r="J17"/>
  <c r="K17"/>
  <c r="L17"/>
  <c r="M17"/>
  <c r="P17"/>
  <c r="P31" s="1"/>
  <c r="Q17"/>
  <c r="R17"/>
  <c r="R31" s="1"/>
  <c r="S17"/>
  <c r="T17"/>
  <c r="T31" s="1"/>
  <c r="I19"/>
  <c r="I26"/>
  <c r="J19"/>
  <c r="K19"/>
  <c r="L19"/>
  <c r="M19"/>
  <c r="M26" s="1"/>
  <c r="P19"/>
  <c r="P26" s="1"/>
  <c r="Q19"/>
  <c r="R19"/>
  <c r="S19"/>
  <c r="S26"/>
  <c r="T19"/>
  <c r="I20"/>
  <c r="J20"/>
  <c r="K20"/>
  <c r="K27" s="1"/>
  <c r="L20"/>
  <c r="M20"/>
  <c r="P20"/>
  <c r="P27" s="1"/>
  <c r="Q20"/>
  <c r="Q27"/>
  <c r="R20"/>
  <c r="S20"/>
  <c r="T20"/>
  <c r="I21"/>
  <c r="I28" s="1"/>
  <c r="J21"/>
  <c r="K21"/>
  <c r="L21"/>
  <c r="M21"/>
  <c r="P21"/>
  <c r="Q21"/>
  <c r="R21"/>
  <c r="S21"/>
  <c r="S28"/>
  <c r="T21"/>
  <c r="I22"/>
  <c r="J22"/>
  <c r="K22"/>
  <c r="L22"/>
  <c r="M22"/>
  <c r="P22"/>
  <c r="Q22"/>
  <c r="Q29" s="1"/>
  <c r="R22"/>
  <c r="S22"/>
  <c r="T22"/>
  <c r="I23"/>
  <c r="I30" s="1"/>
  <c r="J23"/>
  <c r="K23"/>
  <c r="L23"/>
  <c r="M23"/>
  <c r="M30" s="1"/>
  <c r="P23"/>
  <c r="Q23"/>
  <c r="R23"/>
  <c r="S23"/>
  <c r="T23"/>
  <c r="T30" s="1"/>
  <c r="I24"/>
  <c r="J24"/>
  <c r="K24"/>
  <c r="L24"/>
  <c r="M24"/>
  <c r="P24"/>
  <c r="Q24"/>
  <c r="R24"/>
  <c r="S24"/>
  <c r="T24"/>
  <c r="J26"/>
  <c r="R26"/>
  <c r="L27"/>
  <c r="R27"/>
  <c r="L28"/>
  <c r="M28"/>
  <c r="P28"/>
  <c r="K29"/>
  <c r="L29"/>
  <c r="P29"/>
  <c r="R29"/>
  <c r="J30"/>
  <c r="S30"/>
  <c r="J31"/>
  <c r="K31"/>
  <c r="L31"/>
  <c r="M31"/>
  <c r="Q31"/>
  <c r="I6" i="26"/>
  <c r="I12" s="1"/>
  <c r="J6"/>
  <c r="J12" s="1"/>
  <c r="K6"/>
  <c r="K12" s="1"/>
  <c r="L6"/>
  <c r="L12" s="1"/>
  <c r="M6"/>
  <c r="M12" s="1"/>
  <c r="P6"/>
  <c r="P12" s="1"/>
  <c r="Q6"/>
  <c r="Q12" s="1"/>
  <c r="R6"/>
  <c r="R12" s="1"/>
  <c r="S6"/>
  <c r="S12" s="1"/>
  <c r="T6"/>
  <c r="T12" s="1"/>
  <c r="I7"/>
  <c r="I13" s="1"/>
  <c r="J7"/>
  <c r="J13" s="1"/>
  <c r="K7"/>
  <c r="K13" s="1"/>
  <c r="L7"/>
  <c r="L13" s="1"/>
  <c r="M7"/>
  <c r="M13" s="1"/>
  <c r="P7"/>
  <c r="P13" s="1"/>
  <c r="Q7"/>
  <c r="R7"/>
  <c r="S7"/>
  <c r="S13" s="1"/>
  <c r="T7"/>
  <c r="I8"/>
  <c r="I14"/>
  <c r="J8"/>
  <c r="J14"/>
  <c r="K8"/>
  <c r="K14"/>
  <c r="L8"/>
  <c r="L14"/>
  <c r="M8"/>
  <c r="M14"/>
  <c r="P8"/>
  <c r="P14"/>
  <c r="Q8"/>
  <c r="Q14"/>
  <c r="R8"/>
  <c r="R14"/>
  <c r="S8"/>
  <c r="S14"/>
  <c r="T8"/>
  <c r="T14"/>
  <c r="I9"/>
  <c r="I15"/>
  <c r="J9"/>
  <c r="J15"/>
  <c r="K9"/>
  <c r="K15"/>
  <c r="L9"/>
  <c r="L15"/>
  <c r="M9"/>
  <c r="M15"/>
  <c r="P9"/>
  <c r="P15"/>
  <c r="Q9"/>
  <c r="Q15"/>
  <c r="R9"/>
  <c r="R15"/>
  <c r="S9"/>
  <c r="S15"/>
  <c r="T9"/>
  <c r="T15"/>
  <c r="I10"/>
  <c r="J10"/>
  <c r="K10"/>
  <c r="K16"/>
  <c r="L10"/>
  <c r="L16"/>
  <c r="M10"/>
  <c r="M16"/>
  <c r="P10"/>
  <c r="Q10"/>
  <c r="R10"/>
  <c r="R16"/>
  <c r="S10"/>
  <c r="T10"/>
  <c r="T16" s="1"/>
  <c r="B12"/>
  <c r="C12"/>
  <c r="D12"/>
  <c r="E12"/>
  <c r="F12"/>
  <c r="B13"/>
  <c r="C13"/>
  <c r="D13"/>
  <c r="E13"/>
  <c r="F13"/>
  <c r="Q13"/>
  <c r="R13"/>
  <c r="T13"/>
  <c r="B14"/>
  <c r="C14"/>
  <c r="D14"/>
  <c r="E14"/>
  <c r="F14"/>
  <c r="B15"/>
  <c r="C15"/>
  <c r="D15"/>
  <c r="E15"/>
  <c r="F15"/>
  <c r="B16"/>
  <c r="C16"/>
  <c r="D16"/>
  <c r="E16"/>
  <c r="F16"/>
  <c r="Q16"/>
  <c r="S16"/>
  <c r="I23"/>
  <c r="J23"/>
  <c r="K23"/>
  <c r="L23"/>
  <c r="M23"/>
  <c r="P23"/>
  <c r="Q23"/>
  <c r="R23"/>
  <c r="S23"/>
  <c r="T23"/>
  <c r="I24"/>
  <c r="J24"/>
  <c r="K24"/>
  <c r="L24"/>
  <c r="L36"/>
  <c r="M24"/>
  <c r="P24"/>
  <c r="Q24"/>
  <c r="R24"/>
  <c r="S24"/>
  <c r="T24"/>
  <c r="I25"/>
  <c r="J25"/>
  <c r="K25"/>
  <c r="L25"/>
  <c r="M25"/>
  <c r="P25"/>
  <c r="Q25"/>
  <c r="R25"/>
  <c r="S25"/>
  <c r="T25"/>
  <c r="I26"/>
  <c r="J26"/>
  <c r="K26"/>
  <c r="L26"/>
  <c r="M26"/>
  <c r="P26"/>
  <c r="Q26"/>
  <c r="R26"/>
  <c r="S26"/>
  <c r="T26"/>
  <c r="I27"/>
  <c r="J27"/>
  <c r="K27"/>
  <c r="L27"/>
  <c r="M27"/>
  <c r="P27"/>
  <c r="Q27"/>
  <c r="R27"/>
  <c r="S27"/>
  <c r="T27"/>
  <c r="I29"/>
  <c r="I35"/>
  <c r="J29"/>
  <c r="J35"/>
  <c r="K29"/>
  <c r="K35"/>
  <c r="L29"/>
  <c r="L35"/>
  <c r="M29"/>
  <c r="M35"/>
  <c r="P29"/>
  <c r="Q29"/>
  <c r="Q35" s="1"/>
  <c r="R29"/>
  <c r="R35" s="1"/>
  <c r="S29"/>
  <c r="T29"/>
  <c r="T35"/>
  <c r="I30"/>
  <c r="I36"/>
  <c r="J30"/>
  <c r="K30"/>
  <c r="K36" s="1"/>
  <c r="M30"/>
  <c r="P30"/>
  <c r="P36"/>
  <c r="Q30"/>
  <c r="Q36"/>
  <c r="R30"/>
  <c r="R36"/>
  <c r="S30"/>
  <c r="T30"/>
  <c r="T36" s="1"/>
  <c r="I31"/>
  <c r="I37" s="1"/>
  <c r="J31"/>
  <c r="J37" s="1"/>
  <c r="K31"/>
  <c r="K37" s="1"/>
  <c r="M31"/>
  <c r="M37" s="1"/>
  <c r="P31"/>
  <c r="Q31"/>
  <c r="Q37" s="1"/>
  <c r="R31"/>
  <c r="R37" s="1"/>
  <c r="S31"/>
  <c r="S37" s="1"/>
  <c r="T31"/>
  <c r="I32"/>
  <c r="I38"/>
  <c r="J32"/>
  <c r="J38"/>
  <c r="K32"/>
  <c r="L32"/>
  <c r="M32"/>
  <c r="M38"/>
  <c r="P32"/>
  <c r="P38"/>
  <c r="Q32"/>
  <c r="R32"/>
  <c r="S32"/>
  <c r="S38"/>
  <c r="T32"/>
  <c r="T38"/>
  <c r="I33"/>
  <c r="J33"/>
  <c r="K33"/>
  <c r="L33"/>
  <c r="M33"/>
  <c r="P33"/>
  <c r="Q33"/>
  <c r="R33"/>
  <c r="S33"/>
  <c r="T33"/>
  <c r="P35"/>
  <c r="S35"/>
  <c r="K38"/>
  <c r="Q38"/>
  <c r="I39"/>
  <c r="J39"/>
  <c r="K39"/>
  <c r="L39"/>
  <c r="M39"/>
  <c r="P39"/>
  <c r="Q39"/>
  <c r="R39"/>
  <c r="S39"/>
  <c r="T39"/>
  <c r="I6" i="25"/>
  <c r="J6"/>
  <c r="K6"/>
  <c r="L6"/>
  <c r="M6"/>
  <c r="P6"/>
  <c r="Q6"/>
  <c r="R6"/>
  <c r="S6"/>
  <c r="T6"/>
  <c r="I7"/>
  <c r="J7"/>
  <c r="K7"/>
  <c r="L7"/>
  <c r="M7"/>
  <c r="P7"/>
  <c r="Q7"/>
  <c r="R7"/>
  <c r="S7"/>
  <c r="T7"/>
  <c r="I8"/>
  <c r="J8"/>
  <c r="K8"/>
  <c r="L8"/>
  <c r="M8"/>
  <c r="P8"/>
  <c r="Q8"/>
  <c r="R8"/>
  <c r="S8"/>
  <c r="S32" s="1"/>
  <c r="T8"/>
  <c r="I9"/>
  <c r="J9"/>
  <c r="K9"/>
  <c r="L9"/>
  <c r="M9"/>
  <c r="P9"/>
  <c r="Q9"/>
  <c r="Q33" s="1"/>
  <c r="R9"/>
  <c r="S9"/>
  <c r="T9"/>
  <c r="I10"/>
  <c r="J10"/>
  <c r="K10"/>
  <c r="L10"/>
  <c r="M10"/>
  <c r="P10"/>
  <c r="Q10"/>
  <c r="R10"/>
  <c r="S10"/>
  <c r="T10"/>
  <c r="I12"/>
  <c r="J12"/>
  <c r="K12"/>
  <c r="L12"/>
  <c r="M12"/>
  <c r="P12"/>
  <c r="Q12"/>
  <c r="R12"/>
  <c r="S12"/>
  <c r="T12"/>
  <c r="I13"/>
  <c r="J13"/>
  <c r="K13"/>
  <c r="L13"/>
  <c r="M13"/>
  <c r="P13"/>
  <c r="Q13"/>
  <c r="R13"/>
  <c r="S13"/>
  <c r="T13"/>
  <c r="I14"/>
  <c r="J14"/>
  <c r="K14"/>
  <c r="L14"/>
  <c r="M14"/>
  <c r="P14"/>
  <c r="Q14"/>
  <c r="R14"/>
  <c r="S14"/>
  <c r="T14"/>
  <c r="I15"/>
  <c r="J15"/>
  <c r="K15"/>
  <c r="K33" s="1"/>
  <c r="L15"/>
  <c r="M15"/>
  <c r="P15"/>
  <c r="Q15"/>
  <c r="R15"/>
  <c r="S15"/>
  <c r="T15"/>
  <c r="I16"/>
  <c r="J16"/>
  <c r="K16"/>
  <c r="L16"/>
  <c r="M16"/>
  <c r="P16"/>
  <c r="Q16"/>
  <c r="R16"/>
  <c r="S16"/>
  <c r="T16"/>
  <c r="I18"/>
  <c r="J18"/>
  <c r="K18"/>
  <c r="L18"/>
  <c r="M18"/>
  <c r="P18"/>
  <c r="Q18"/>
  <c r="R18"/>
  <c r="S18"/>
  <c r="T18"/>
  <c r="I19"/>
  <c r="J19"/>
  <c r="K19"/>
  <c r="L19"/>
  <c r="M19"/>
  <c r="P19"/>
  <c r="P31" s="1"/>
  <c r="Q19"/>
  <c r="R19"/>
  <c r="S19"/>
  <c r="T19"/>
  <c r="I20"/>
  <c r="J20"/>
  <c r="K20"/>
  <c r="L20"/>
  <c r="M20"/>
  <c r="P20"/>
  <c r="P32" s="1"/>
  <c r="Q20"/>
  <c r="R20"/>
  <c r="S20"/>
  <c r="T20"/>
  <c r="T32" s="1"/>
  <c r="I21"/>
  <c r="J21"/>
  <c r="K21"/>
  <c r="L21"/>
  <c r="L33" s="1"/>
  <c r="M21"/>
  <c r="P21"/>
  <c r="Q21"/>
  <c r="R21"/>
  <c r="S21"/>
  <c r="T21"/>
  <c r="I22"/>
  <c r="J22"/>
  <c r="K22"/>
  <c r="L22"/>
  <c r="M22"/>
  <c r="P22"/>
  <c r="Q22"/>
  <c r="R22"/>
  <c r="S22"/>
  <c r="T22"/>
  <c r="I24"/>
  <c r="J24"/>
  <c r="K24"/>
  <c r="L24"/>
  <c r="L30" s="1"/>
  <c r="M24"/>
  <c r="P24"/>
  <c r="P30"/>
  <c r="Q24"/>
  <c r="Q30"/>
  <c r="R24"/>
  <c r="R30"/>
  <c r="S24"/>
  <c r="T24"/>
  <c r="T30" s="1"/>
  <c r="I25"/>
  <c r="J25"/>
  <c r="J31"/>
  <c r="K25"/>
  <c r="L25"/>
  <c r="L31" s="1"/>
  <c r="M25"/>
  <c r="P25"/>
  <c r="Q25"/>
  <c r="Q31" s="1"/>
  <c r="R25"/>
  <c r="R31"/>
  <c r="S25"/>
  <c r="T25"/>
  <c r="I26"/>
  <c r="J26"/>
  <c r="K26"/>
  <c r="L26"/>
  <c r="M26"/>
  <c r="P26"/>
  <c r="Q26"/>
  <c r="R26"/>
  <c r="S26"/>
  <c r="T26"/>
  <c r="I27"/>
  <c r="I33"/>
  <c r="J27"/>
  <c r="K27"/>
  <c r="L27"/>
  <c r="M27"/>
  <c r="M33"/>
  <c r="P27"/>
  <c r="Q27"/>
  <c r="R27"/>
  <c r="S27"/>
  <c r="S33"/>
  <c r="T27"/>
  <c r="I28"/>
  <c r="J28"/>
  <c r="K28"/>
  <c r="L28"/>
  <c r="M28"/>
  <c r="P28"/>
  <c r="Q28"/>
  <c r="R28"/>
  <c r="S28"/>
  <c r="T28"/>
  <c r="H30"/>
  <c r="H31"/>
  <c r="I31"/>
  <c r="H32"/>
  <c r="H33"/>
  <c r="H34"/>
  <c r="I34"/>
  <c r="J34"/>
  <c r="K34"/>
  <c r="L34"/>
  <c r="M34"/>
  <c r="P34"/>
  <c r="Q34"/>
  <c r="R34"/>
  <c r="S34"/>
  <c r="T34"/>
  <c r="F27" i="4"/>
  <c r="G27"/>
  <c r="H27"/>
  <c r="K27"/>
  <c r="L27"/>
  <c r="M27"/>
  <c r="F28"/>
  <c r="G28"/>
  <c r="H28"/>
  <c r="K28"/>
  <c r="L28"/>
  <c r="M28"/>
  <c r="F29"/>
  <c r="G29"/>
  <c r="H29"/>
  <c r="K29"/>
  <c r="L29"/>
  <c r="M29"/>
  <c r="F30"/>
  <c r="G30"/>
  <c r="H30"/>
  <c r="K30"/>
  <c r="L30"/>
  <c r="M30"/>
  <c r="F31"/>
  <c r="G31"/>
  <c r="H31"/>
  <c r="K31"/>
  <c r="L31"/>
  <c r="M31"/>
  <c r="F32"/>
  <c r="G32"/>
  <c r="H32"/>
  <c r="K32"/>
  <c r="L32"/>
  <c r="M32"/>
  <c r="F33"/>
  <c r="G33"/>
  <c r="H33"/>
  <c r="K33"/>
  <c r="L33"/>
  <c r="M33"/>
  <c r="F34"/>
  <c r="G34"/>
  <c r="H34"/>
  <c r="K34"/>
  <c r="L34"/>
  <c r="M34"/>
  <c r="F35"/>
  <c r="G35"/>
  <c r="H35"/>
  <c r="K35"/>
  <c r="L35"/>
  <c r="M35"/>
  <c r="F36"/>
  <c r="G36"/>
  <c r="H36"/>
  <c r="K36"/>
  <c r="L36"/>
  <c r="M36"/>
  <c r="F37"/>
  <c r="G37"/>
  <c r="H37"/>
  <c r="K37"/>
  <c r="L37"/>
  <c r="M37"/>
  <c r="F38"/>
  <c r="G38"/>
  <c r="H38"/>
  <c r="K38"/>
  <c r="L38"/>
  <c r="M38"/>
  <c r="F39"/>
  <c r="G39"/>
  <c r="H39"/>
  <c r="K39"/>
  <c r="L39"/>
  <c r="M39"/>
  <c r="F40"/>
  <c r="G40"/>
  <c r="H40"/>
  <c r="K40"/>
  <c r="L40"/>
  <c r="M40"/>
  <c r="E41"/>
  <c r="F41"/>
  <c r="G41"/>
  <c r="H41"/>
  <c r="K41"/>
  <c r="L41"/>
  <c r="M41"/>
  <c r="F42"/>
  <c r="G42"/>
  <c r="H42"/>
  <c r="K42"/>
  <c r="L42"/>
  <c r="M42"/>
  <c r="F43"/>
  <c r="G43"/>
  <c r="H43"/>
  <c r="K43"/>
  <c r="L43"/>
  <c r="M43"/>
  <c r="F44"/>
  <c r="G44"/>
  <c r="H44"/>
  <c r="K44"/>
  <c r="L44"/>
  <c r="M44"/>
  <c r="F45"/>
  <c r="G45"/>
  <c r="H45"/>
  <c r="K45"/>
  <c r="L45"/>
  <c r="M45"/>
  <c r="F46"/>
  <c r="G46"/>
  <c r="H46"/>
  <c r="K46"/>
  <c r="L46"/>
  <c r="M46"/>
  <c r="F47"/>
  <c r="G47"/>
  <c r="H47"/>
  <c r="K47"/>
  <c r="L47"/>
  <c r="M47"/>
  <c r="F48"/>
  <c r="G48"/>
  <c r="H48"/>
  <c r="K48"/>
  <c r="L48"/>
  <c r="M48"/>
  <c r="F49"/>
  <c r="G49"/>
  <c r="H49"/>
  <c r="K49"/>
  <c r="L49"/>
  <c r="M49"/>
  <c r="I5" i="3"/>
  <c r="J5"/>
  <c r="K5"/>
  <c r="L5"/>
  <c r="M5"/>
  <c r="P5"/>
  <c r="Q5"/>
  <c r="R5"/>
  <c r="S5"/>
  <c r="T5"/>
  <c r="I6"/>
  <c r="J6"/>
  <c r="K6"/>
  <c r="L6"/>
  <c r="M6"/>
  <c r="P6"/>
  <c r="Q6"/>
  <c r="R6"/>
  <c r="S6"/>
  <c r="T6"/>
  <c r="I7"/>
  <c r="J7"/>
  <c r="K7"/>
  <c r="L7"/>
  <c r="M7"/>
  <c r="P7"/>
  <c r="Q7"/>
  <c r="R7"/>
  <c r="S7"/>
  <c r="T7"/>
  <c r="I8"/>
  <c r="J8"/>
  <c r="K8"/>
  <c r="L8"/>
  <c r="M8"/>
  <c r="P8"/>
  <c r="Q8"/>
  <c r="R8"/>
  <c r="S8"/>
  <c r="T8"/>
  <c r="I9"/>
  <c r="J9"/>
  <c r="K9"/>
  <c r="L9"/>
  <c r="M9"/>
  <c r="P9"/>
  <c r="Q9"/>
  <c r="R9"/>
  <c r="S9"/>
  <c r="T9"/>
  <c r="I10"/>
  <c r="J10"/>
  <c r="K10"/>
  <c r="L10"/>
  <c r="M10"/>
  <c r="P10"/>
  <c r="Q10"/>
  <c r="R10"/>
  <c r="S10"/>
  <c r="T10"/>
  <c r="I11"/>
  <c r="J11"/>
  <c r="K11"/>
  <c r="L11"/>
  <c r="M11"/>
  <c r="P11"/>
  <c r="Q11"/>
  <c r="R11"/>
  <c r="S11"/>
  <c r="T11"/>
  <c r="I12"/>
  <c r="J12"/>
  <c r="K12"/>
  <c r="L12"/>
  <c r="M12"/>
  <c r="P12"/>
  <c r="Q12"/>
  <c r="R12"/>
  <c r="S12"/>
  <c r="T12"/>
  <c r="I15"/>
  <c r="J15"/>
  <c r="K15"/>
  <c r="L15"/>
  <c r="M15"/>
  <c r="P15"/>
  <c r="Q15"/>
  <c r="R15"/>
  <c r="S15"/>
  <c r="T15"/>
  <c r="I16"/>
  <c r="J16"/>
  <c r="K16"/>
  <c r="L16"/>
  <c r="M16"/>
  <c r="P16"/>
  <c r="Q16"/>
  <c r="R16"/>
  <c r="S16"/>
  <c r="T16"/>
  <c r="I17"/>
  <c r="J17"/>
  <c r="K17"/>
  <c r="L17"/>
  <c r="M17"/>
  <c r="P17"/>
  <c r="Q17"/>
  <c r="R17"/>
  <c r="S17"/>
  <c r="T17"/>
  <c r="I18"/>
  <c r="J18"/>
  <c r="K18"/>
  <c r="L18"/>
  <c r="M18"/>
  <c r="P18"/>
  <c r="Q18"/>
  <c r="R18"/>
  <c r="S18"/>
  <c r="T18"/>
  <c r="I19"/>
  <c r="J19"/>
  <c r="K19"/>
  <c r="L19"/>
  <c r="M19"/>
  <c r="P19"/>
  <c r="Q19"/>
  <c r="R19"/>
  <c r="S19"/>
  <c r="T19"/>
  <c r="I20"/>
  <c r="J20"/>
  <c r="K20"/>
  <c r="L20"/>
  <c r="M20"/>
  <c r="P20"/>
  <c r="Q20"/>
  <c r="R20"/>
  <c r="S20"/>
  <c r="T20"/>
  <c r="I21"/>
  <c r="J21"/>
  <c r="K21"/>
  <c r="L21"/>
  <c r="M21"/>
  <c r="P21"/>
  <c r="Q21"/>
  <c r="R21"/>
  <c r="S21"/>
  <c r="T21"/>
  <c r="I22"/>
  <c r="J22"/>
  <c r="K22"/>
  <c r="L22"/>
  <c r="M22"/>
  <c r="P22"/>
  <c r="Q22"/>
  <c r="R22"/>
  <c r="S22"/>
  <c r="T22"/>
  <c r="I24"/>
  <c r="J24"/>
  <c r="J33" s="1"/>
  <c r="K24"/>
  <c r="L24"/>
  <c r="M24"/>
  <c r="P24"/>
  <c r="P33" s="1"/>
  <c r="Q24"/>
  <c r="Q33" s="1"/>
  <c r="R24"/>
  <c r="S24"/>
  <c r="T24"/>
  <c r="T33" s="1"/>
  <c r="I25"/>
  <c r="J25"/>
  <c r="J34" s="1"/>
  <c r="K25"/>
  <c r="L25"/>
  <c r="L34" s="1"/>
  <c r="M25"/>
  <c r="P25"/>
  <c r="Q25"/>
  <c r="R25"/>
  <c r="R34" s="1"/>
  <c r="S25"/>
  <c r="T25"/>
  <c r="I26"/>
  <c r="J26"/>
  <c r="J35" s="1"/>
  <c r="K26"/>
  <c r="K35" s="1"/>
  <c r="L26"/>
  <c r="M26"/>
  <c r="P26"/>
  <c r="P35" s="1"/>
  <c r="Q26"/>
  <c r="R26"/>
  <c r="R35" s="1"/>
  <c r="S26"/>
  <c r="T26"/>
  <c r="T35" s="1"/>
  <c r="I27"/>
  <c r="J27"/>
  <c r="K27"/>
  <c r="L27"/>
  <c r="L36" s="1"/>
  <c r="M27"/>
  <c r="P27"/>
  <c r="Q27"/>
  <c r="R27"/>
  <c r="R36" s="1"/>
  <c r="S27"/>
  <c r="S36" s="1"/>
  <c r="T27"/>
  <c r="I28"/>
  <c r="J28"/>
  <c r="J37" s="1"/>
  <c r="K28"/>
  <c r="L28"/>
  <c r="L37" s="1"/>
  <c r="M28"/>
  <c r="P28"/>
  <c r="P37" s="1"/>
  <c r="Q28"/>
  <c r="R28"/>
  <c r="S28"/>
  <c r="T28"/>
  <c r="T37" s="1"/>
  <c r="I29"/>
  <c r="J29"/>
  <c r="K29"/>
  <c r="L29"/>
  <c r="L38" s="1"/>
  <c r="M29"/>
  <c r="M38" s="1"/>
  <c r="P29"/>
  <c r="Q29"/>
  <c r="R29"/>
  <c r="R38" s="1"/>
  <c r="S29"/>
  <c r="T29"/>
  <c r="T38" s="1"/>
  <c r="I30"/>
  <c r="J30"/>
  <c r="J39" s="1"/>
  <c r="K30"/>
  <c r="L30"/>
  <c r="M30"/>
  <c r="P30"/>
  <c r="P39" s="1"/>
  <c r="Q30"/>
  <c r="R30"/>
  <c r="S30"/>
  <c r="T30"/>
  <c r="T39" s="1"/>
  <c r="I31"/>
  <c r="I40" s="1"/>
  <c r="J31"/>
  <c r="K31"/>
  <c r="L31"/>
  <c r="M31"/>
  <c r="M40" s="1"/>
  <c r="P31"/>
  <c r="Q31"/>
  <c r="R31"/>
  <c r="S31"/>
  <c r="S40" s="1"/>
  <c r="T31"/>
  <c r="I33"/>
  <c r="K33"/>
  <c r="L33"/>
  <c r="M33"/>
  <c r="R33"/>
  <c r="S33"/>
  <c r="I34"/>
  <c r="K34"/>
  <c r="M34"/>
  <c r="P34"/>
  <c r="Q34"/>
  <c r="S34"/>
  <c r="T34"/>
  <c r="I35"/>
  <c r="L35"/>
  <c r="M35"/>
  <c r="Q35"/>
  <c r="S35"/>
  <c r="I36"/>
  <c r="J36"/>
  <c r="K36"/>
  <c r="M36"/>
  <c r="P36"/>
  <c r="Q36"/>
  <c r="T36"/>
  <c r="I37"/>
  <c r="K37"/>
  <c r="M37"/>
  <c r="Q37"/>
  <c r="R37"/>
  <c r="S37"/>
  <c r="I38"/>
  <c r="J38"/>
  <c r="K38"/>
  <c r="P38"/>
  <c r="Q38"/>
  <c r="S38"/>
  <c r="I39"/>
  <c r="K39"/>
  <c r="L39"/>
  <c r="M39"/>
  <c r="Q39"/>
  <c r="R39"/>
  <c r="S39"/>
  <c r="J40"/>
  <c r="K40"/>
  <c r="L40"/>
  <c r="P40"/>
  <c r="Q40"/>
  <c r="R40"/>
  <c r="T40"/>
  <c r="I7" i="2"/>
  <c r="J7"/>
  <c r="K7"/>
  <c r="L7"/>
  <c r="M7"/>
  <c r="P7"/>
  <c r="Q7"/>
  <c r="R7"/>
  <c r="S7"/>
  <c r="T7"/>
  <c r="B8"/>
  <c r="J8"/>
  <c r="K8"/>
  <c r="L8"/>
  <c r="L12"/>
  <c r="L14"/>
  <c r="M8"/>
  <c r="S8"/>
  <c r="T8"/>
  <c r="I9"/>
  <c r="J9"/>
  <c r="K9"/>
  <c r="L9"/>
  <c r="M9"/>
  <c r="P9"/>
  <c r="Q9"/>
  <c r="Q8"/>
  <c r="S9"/>
  <c r="T9"/>
  <c r="I12"/>
  <c r="J12"/>
  <c r="K12"/>
  <c r="M12"/>
  <c r="P12"/>
  <c r="Q12"/>
  <c r="R12"/>
  <c r="S12"/>
  <c r="T12"/>
  <c r="I13"/>
  <c r="J13"/>
  <c r="K13"/>
  <c r="M13"/>
  <c r="Q13"/>
  <c r="R13"/>
  <c r="S13"/>
  <c r="T13"/>
  <c r="I14"/>
  <c r="J14"/>
  <c r="K14"/>
  <c r="M14"/>
  <c r="P14"/>
  <c r="P13" s="1"/>
  <c r="Q14"/>
  <c r="R14"/>
  <c r="S14"/>
  <c r="T14"/>
  <c r="I17"/>
  <c r="J17"/>
  <c r="K17"/>
  <c r="L17"/>
  <c r="M17"/>
  <c r="P17"/>
  <c r="Q17"/>
  <c r="R17"/>
  <c r="S17"/>
  <c r="T17"/>
  <c r="I18"/>
  <c r="J18"/>
  <c r="K18"/>
  <c r="L18"/>
  <c r="M18"/>
  <c r="P18"/>
  <c r="R18"/>
  <c r="S18"/>
  <c r="T18"/>
  <c r="I19"/>
  <c r="J19"/>
  <c r="K19"/>
  <c r="L19"/>
  <c r="M19"/>
  <c r="P19"/>
  <c r="Q19"/>
  <c r="Q18"/>
  <c r="R19"/>
  <c r="S19"/>
  <c r="T19"/>
  <c r="K22"/>
  <c r="L22"/>
  <c r="M22"/>
  <c r="S22"/>
  <c r="T22"/>
  <c r="K23"/>
  <c r="L23"/>
  <c r="M23"/>
  <c r="R23"/>
  <c r="S23"/>
  <c r="T23"/>
  <c r="K24"/>
  <c r="L28"/>
  <c r="M24"/>
  <c r="S24"/>
  <c r="T24"/>
  <c r="K26"/>
  <c r="P26"/>
  <c r="Q26"/>
  <c r="P27"/>
  <c r="I28"/>
  <c r="J28"/>
  <c r="K28"/>
  <c r="M28"/>
  <c r="P28"/>
  <c r="Q28"/>
  <c r="R28"/>
  <c r="S28"/>
  <c r="T28"/>
  <c r="I39"/>
  <c r="I43"/>
  <c r="J39"/>
  <c r="K39"/>
  <c r="K43" s="1"/>
  <c r="L39"/>
  <c r="L43" s="1"/>
  <c r="M39"/>
  <c r="M43" s="1"/>
  <c r="O39"/>
  <c r="P39"/>
  <c r="P43"/>
  <c r="Q39"/>
  <c r="R39"/>
  <c r="R43" s="1"/>
  <c r="S39"/>
  <c r="S43" s="1"/>
  <c r="T39"/>
  <c r="T43" s="1"/>
  <c r="I40"/>
  <c r="I44" s="1"/>
  <c r="K40"/>
  <c r="K44"/>
  <c r="L40"/>
  <c r="L44"/>
  <c r="M40"/>
  <c r="O40"/>
  <c r="Q40"/>
  <c r="Q44"/>
  <c r="R40"/>
  <c r="T40"/>
  <c r="T44" s="1"/>
  <c r="I41"/>
  <c r="J41"/>
  <c r="J40"/>
  <c r="J44" s="1"/>
  <c r="K41"/>
  <c r="L41"/>
  <c r="M41"/>
  <c r="O41"/>
  <c r="P41"/>
  <c r="P40" s="1"/>
  <c r="P44" s="1"/>
  <c r="Q41"/>
  <c r="R41"/>
  <c r="S41"/>
  <c r="S40" s="1"/>
  <c r="S44" s="1"/>
  <c r="T41"/>
  <c r="O43"/>
  <c r="Q43"/>
  <c r="M44"/>
  <c r="O44"/>
  <c r="R44"/>
  <c r="I45"/>
  <c r="J45"/>
  <c r="K45"/>
  <c r="L45"/>
  <c r="M45"/>
  <c r="O45"/>
  <c r="P45"/>
  <c r="Q45"/>
  <c r="R45"/>
  <c r="S45"/>
  <c r="T45"/>
  <c r="I54"/>
  <c r="J54"/>
  <c r="J63" s="1"/>
  <c r="K54"/>
  <c r="L54"/>
  <c r="M54"/>
  <c r="M63" s="1"/>
  <c r="P54"/>
  <c r="Q54"/>
  <c r="R54"/>
  <c r="S54"/>
  <c r="T54"/>
  <c r="J55"/>
  <c r="J64"/>
  <c r="K55"/>
  <c r="K64" s="1"/>
  <c r="M55"/>
  <c r="M64" s="1"/>
  <c r="P55"/>
  <c r="Q55"/>
  <c r="R55"/>
  <c r="S55"/>
  <c r="S64"/>
  <c r="T55"/>
  <c r="I56"/>
  <c r="I55" s="1"/>
  <c r="I64" s="1"/>
  <c r="J56"/>
  <c r="K56"/>
  <c r="L56"/>
  <c r="L55"/>
  <c r="L64" s="1"/>
  <c r="M56"/>
  <c r="P56"/>
  <c r="Q56"/>
  <c r="R56"/>
  <c r="S56"/>
  <c r="T56"/>
  <c r="I59"/>
  <c r="I63" s="1"/>
  <c r="K59"/>
  <c r="L59"/>
  <c r="P59"/>
  <c r="R59"/>
  <c r="S59"/>
  <c r="S63"/>
  <c r="T59"/>
  <c r="I60"/>
  <c r="R60"/>
  <c r="T60"/>
  <c r="I61"/>
  <c r="J61"/>
  <c r="L61"/>
  <c r="Q61"/>
  <c r="R61"/>
  <c r="T61"/>
  <c r="P63"/>
  <c r="Q63"/>
  <c r="R63"/>
  <c r="T63"/>
  <c r="Q64"/>
  <c r="R64"/>
  <c r="T64"/>
  <c r="E65"/>
  <c r="L65" s="1"/>
  <c r="I65"/>
  <c r="J65"/>
  <c r="K65"/>
  <c r="M65"/>
  <c r="P65"/>
  <c r="P61" s="1"/>
  <c r="P60" s="1"/>
  <c r="P64" s="1"/>
  <c r="Q65"/>
  <c r="R65"/>
  <c r="T65"/>
  <c r="I5" i="1"/>
  <c r="J5"/>
  <c r="J23" s="1"/>
  <c r="K5"/>
  <c r="L5"/>
  <c r="L24" s="1"/>
  <c r="M5"/>
  <c r="P5"/>
  <c r="Q5"/>
  <c r="R5"/>
  <c r="S5"/>
  <c r="T5"/>
  <c r="T23" s="1"/>
  <c r="T24" s="1"/>
  <c r="I6"/>
  <c r="J6"/>
  <c r="K6"/>
  <c r="L6"/>
  <c r="M6"/>
  <c r="P6"/>
  <c r="Q6"/>
  <c r="R6"/>
  <c r="S6"/>
  <c r="T6"/>
  <c r="I7"/>
  <c r="J7"/>
  <c r="J25" s="1"/>
  <c r="K7"/>
  <c r="K13"/>
  <c r="K19"/>
  <c r="K25" s="1"/>
  <c r="L7"/>
  <c r="M7"/>
  <c r="P7"/>
  <c r="P25" s="1"/>
  <c r="Q7"/>
  <c r="R7"/>
  <c r="S7"/>
  <c r="S25" s="1"/>
  <c r="T7"/>
  <c r="S8"/>
  <c r="S14"/>
  <c r="S20"/>
  <c r="I8"/>
  <c r="J8"/>
  <c r="K8"/>
  <c r="L8"/>
  <c r="L26" s="1"/>
  <c r="M8"/>
  <c r="P8"/>
  <c r="P26" s="1"/>
  <c r="Q8"/>
  <c r="R8"/>
  <c r="T8"/>
  <c r="L9"/>
  <c r="L15"/>
  <c r="E21"/>
  <c r="S21" s="1"/>
  <c r="I9"/>
  <c r="J9"/>
  <c r="K9"/>
  <c r="M9"/>
  <c r="M15"/>
  <c r="M21"/>
  <c r="P9"/>
  <c r="Q9"/>
  <c r="R9"/>
  <c r="S9"/>
  <c r="S27" s="1"/>
  <c r="T9"/>
  <c r="I11"/>
  <c r="I17"/>
  <c r="J11"/>
  <c r="J24" s="1"/>
  <c r="K11"/>
  <c r="L11"/>
  <c r="M11"/>
  <c r="M17"/>
  <c r="P11"/>
  <c r="Q11"/>
  <c r="Q23" s="1"/>
  <c r="R11"/>
  <c r="S11"/>
  <c r="S17"/>
  <c r="T11"/>
  <c r="I12"/>
  <c r="I24" s="1"/>
  <c r="J12"/>
  <c r="J17"/>
  <c r="K12"/>
  <c r="L12"/>
  <c r="M12"/>
  <c r="M24" s="1"/>
  <c r="P12"/>
  <c r="P17"/>
  <c r="P23" s="1"/>
  <c r="P24" s="1"/>
  <c r="Q12"/>
  <c r="R12"/>
  <c r="S12"/>
  <c r="T12"/>
  <c r="T17"/>
  <c r="I13"/>
  <c r="I25" s="1"/>
  <c r="J13"/>
  <c r="L13"/>
  <c r="L19"/>
  <c r="M13"/>
  <c r="M19"/>
  <c r="P13"/>
  <c r="Q13"/>
  <c r="Q19"/>
  <c r="R13"/>
  <c r="R19"/>
  <c r="R25" s="1"/>
  <c r="S13"/>
  <c r="T13"/>
  <c r="I14"/>
  <c r="I20"/>
  <c r="J14"/>
  <c r="K14"/>
  <c r="K26" s="1"/>
  <c r="L14"/>
  <c r="M14"/>
  <c r="M20"/>
  <c r="P14"/>
  <c r="Q14"/>
  <c r="Q26" s="1"/>
  <c r="R14"/>
  <c r="T14"/>
  <c r="I15"/>
  <c r="J15"/>
  <c r="K15"/>
  <c r="K27" s="1"/>
  <c r="K21"/>
  <c r="P15"/>
  <c r="P27" s="1"/>
  <c r="Q15"/>
  <c r="Q21"/>
  <c r="R15"/>
  <c r="S15"/>
  <c r="T15"/>
  <c r="K17"/>
  <c r="K23" s="1"/>
  <c r="K24" s="1"/>
  <c r="L17"/>
  <c r="L23"/>
  <c r="Q17"/>
  <c r="Q24" s="1"/>
  <c r="R17"/>
  <c r="I19"/>
  <c r="J19"/>
  <c r="P19"/>
  <c r="S19"/>
  <c r="T19"/>
  <c r="T25"/>
  <c r="J20"/>
  <c r="K20"/>
  <c r="L20"/>
  <c r="P20"/>
  <c r="Q20"/>
  <c r="R20"/>
  <c r="T20"/>
  <c r="T26"/>
  <c r="I21"/>
  <c r="J21"/>
  <c r="P21"/>
  <c r="R21"/>
  <c r="T21"/>
  <c r="T27"/>
  <c r="N49" i="4"/>
  <c r="N48"/>
  <c r="N47"/>
  <c r="N46"/>
  <c r="N45"/>
  <c r="N44"/>
  <c r="N43"/>
  <c r="N42"/>
  <c r="N41"/>
  <c r="I26"/>
  <c r="I25"/>
  <c r="I24"/>
  <c r="I23"/>
  <c r="I22"/>
  <c r="I21"/>
  <c r="I20"/>
  <c r="I19"/>
  <c r="I18"/>
  <c r="I17"/>
  <c r="I16"/>
  <c r="I15"/>
  <c r="I13"/>
  <c r="I11"/>
  <c r="I9"/>
  <c r="I7"/>
  <c r="I5"/>
  <c r="I49"/>
  <c r="I48"/>
  <c r="I47"/>
  <c r="I46"/>
  <c r="I45"/>
  <c r="I44"/>
  <c r="I43"/>
  <c r="I42"/>
  <c r="I41"/>
  <c r="N26"/>
  <c r="N25"/>
  <c r="N24"/>
  <c r="N23"/>
  <c r="N22"/>
  <c r="N21"/>
  <c r="N20"/>
  <c r="N19"/>
  <c r="N18"/>
  <c r="N17"/>
  <c r="N16"/>
  <c r="N15"/>
  <c r="N9"/>
  <c r="J43" i="2"/>
  <c r="P8"/>
  <c r="I40" i="4"/>
  <c r="I39"/>
  <c r="I38"/>
  <c r="I37"/>
  <c r="I36"/>
  <c r="I35"/>
  <c r="I34"/>
  <c r="I33"/>
  <c r="I32"/>
  <c r="I31"/>
  <c r="I30"/>
  <c r="I29"/>
  <c r="I28"/>
  <c r="I27"/>
  <c r="N40"/>
  <c r="N39"/>
  <c r="N38"/>
  <c r="N37"/>
  <c r="N36"/>
  <c r="N35"/>
  <c r="N34"/>
  <c r="N33"/>
  <c r="N32"/>
  <c r="N31"/>
  <c r="N30"/>
  <c r="N29"/>
  <c r="N28"/>
  <c r="N27"/>
  <c r="I50"/>
  <c r="G37" i="5"/>
  <c r="G46" s="1"/>
  <c r="I51" i="4"/>
  <c r="L26" i="2"/>
  <c r="S65"/>
  <c r="S61"/>
  <c r="L63"/>
  <c r="L24"/>
  <c r="P16" i="26"/>
  <c r="N60" i="4"/>
  <c r="U41" i="2"/>
  <c r="U56"/>
  <c r="G48" i="93"/>
  <c r="U26" i="14"/>
  <c r="R23" i="1"/>
  <c r="R24"/>
  <c r="N56" i="2"/>
  <c r="Q60"/>
  <c r="J16" i="26"/>
  <c r="G19" i="93"/>
  <c r="G39" i="5"/>
  <c r="G44"/>
  <c r="M27" i="1"/>
  <c r="M23"/>
  <c r="S26"/>
  <c r="F19" i="8"/>
  <c r="F20"/>
  <c r="F23"/>
  <c r="U63" i="2"/>
  <c r="I8"/>
  <c r="I27"/>
  <c r="U23" i="1"/>
  <c r="U24"/>
  <c r="F21" i="8"/>
  <c r="F18"/>
  <c r="F24" s="1"/>
  <c r="S27" i="2"/>
  <c r="J27"/>
  <c r="L13"/>
  <c r="L27"/>
  <c r="G45"/>
  <c r="U45"/>
  <c r="T27"/>
  <c r="R27"/>
  <c r="K27"/>
  <c r="M27"/>
  <c r="S26"/>
  <c r="M26"/>
  <c r="U26"/>
  <c r="K63"/>
  <c r="I26"/>
  <c r="T26"/>
  <c r="R26"/>
  <c r="J26"/>
  <c r="J27" i="1"/>
  <c r="U25"/>
  <c r="G38" i="5"/>
  <c r="C37"/>
  <c r="D37"/>
  <c r="D41"/>
  <c r="E37"/>
  <c r="C41"/>
  <c r="B37"/>
  <c r="E41"/>
  <c r="F41"/>
  <c r="B41"/>
  <c r="F37"/>
  <c r="G24"/>
  <c r="N45" i="2"/>
  <c r="I16" i="26"/>
  <c r="U31" i="25"/>
  <c r="N36" i="26"/>
  <c r="E83" i="87"/>
  <c r="F17"/>
  <c r="F83"/>
  <c r="S31" i="14"/>
  <c r="I27"/>
  <c r="N28"/>
  <c r="U29"/>
  <c r="Q26"/>
  <c r="I31"/>
  <c r="K30"/>
  <c r="M29"/>
  <c r="Q28"/>
  <c r="S27"/>
  <c r="N26"/>
  <c r="U30"/>
  <c r="K26"/>
  <c r="Q30"/>
  <c r="S29"/>
  <c r="I29"/>
  <c r="K28"/>
  <c r="M27"/>
  <c r="N30"/>
  <c r="N14" i="4"/>
  <c r="U37" i="26"/>
  <c r="R38"/>
  <c r="L38"/>
  <c r="T37"/>
  <c r="P37"/>
  <c r="U35"/>
  <c r="S36"/>
  <c r="M36"/>
  <c r="J36"/>
  <c r="N37"/>
  <c r="L37"/>
  <c r="T33" i="25"/>
  <c r="P33"/>
  <c r="J33"/>
  <c r="R33"/>
  <c r="Q32"/>
  <c r="M30"/>
  <c r="U32"/>
  <c r="N33"/>
  <c r="N32"/>
  <c r="R32"/>
  <c r="S30"/>
  <c r="K32"/>
  <c r="S31"/>
  <c r="K30"/>
  <c r="I32"/>
  <c r="I30"/>
  <c r="J32"/>
  <c r="J30"/>
  <c r="M31"/>
  <c r="M32"/>
  <c r="K31"/>
  <c r="T31"/>
  <c r="L32"/>
  <c r="N4" i="4"/>
  <c r="I8"/>
  <c r="I26" i="1"/>
  <c r="N26"/>
  <c r="N27"/>
  <c r="U27"/>
  <c r="S23"/>
  <c r="S24"/>
  <c r="M26"/>
  <c r="R26"/>
  <c r="I27"/>
  <c r="Q25"/>
  <c r="I23"/>
  <c r="M25"/>
  <c r="R27"/>
  <c r="Q27"/>
  <c r="N23"/>
  <c r="N24"/>
  <c r="J26"/>
  <c r="L25"/>
  <c r="N34" i="3" l="1"/>
  <c r="U37"/>
  <c r="N65" i="2"/>
  <c r="N61" s="1"/>
  <c r="U65"/>
  <c r="L21" i="1"/>
  <c r="L27" s="1"/>
</calcChain>
</file>

<file path=xl/sharedStrings.xml><?xml version="1.0" encoding="utf-8"?>
<sst xmlns="http://schemas.openxmlformats.org/spreadsheetml/2006/main" count="2033" uniqueCount="1174">
  <si>
    <t>***  The main part of licenses for exploration, development and production of hydrocarbons was received by Gazprom Group in 1993-1996 according to the Federal law “On subsoil”. Their expiry period is mostly in 2012–2014. While license holders of Gazprom Group meet the main terms and conditions of license agreements, they have a right to prolong current licenses to complete exploration and development of fields. Gazprom plans to prolong licenses for the period till the completion of profitable development of fields.</t>
  </si>
  <si>
    <r>
      <t>Gazprom Neft</t>
    </r>
    <r>
      <rPr>
        <sz val="8"/>
        <rFont val="Times New Roman"/>
        <family val="1"/>
        <charset val="204"/>
      </rPr>
      <t xml:space="preserve"> carried out works on initiating the geological exploration project within the Production sharing agreement together with the Energy Ministry of Equatorial Guinea and the national company GEPetrol on two selected off-shore exploration blocks T and U. The President of Equatorial Guinea ratified the Production sharing agreement signed by the parties on August 31, 2010. 
</t>
    </r>
  </si>
  <si>
    <r>
      <t xml:space="preserve">Share participation in concessions of Wintershall AG (project operator) as a result of the completion of an asset swap transaction with BASF.
</t>
    </r>
    <r>
      <rPr>
        <i/>
        <sz val="8"/>
        <rFont val="Times New Roman"/>
        <family val="1"/>
        <charset val="204"/>
      </rPr>
      <t xml:space="preserve">Group’s </t>
    </r>
    <r>
      <rPr>
        <sz val="8"/>
        <rFont val="Times New Roman"/>
        <family val="1"/>
        <charset val="204"/>
      </rPr>
      <t xml:space="preserve">project participant – subsidiary Gazprom EP International B.V 
</t>
    </r>
  </si>
  <si>
    <r>
      <t xml:space="preserve">Nine fields are currently in operation. 
In 2010 0.2 bcm of gas, 1.9 million tons of oil and 0.1 million tons of condensate was produced within oil concessions C96 and C97 and attributed to the share of the </t>
    </r>
    <r>
      <rPr>
        <i/>
        <sz val="8"/>
        <rFont val="Times New Roman"/>
        <family val="1"/>
        <charset val="204"/>
      </rPr>
      <t>Group</t>
    </r>
    <r>
      <rPr>
        <sz val="8"/>
        <rFont val="Times New Roman"/>
        <family val="1"/>
        <charset val="204"/>
      </rPr>
      <t xml:space="preserve">.  
</t>
    </r>
  </si>
  <si>
    <t xml:space="preserve">In 2009–2010 during the first phase of the project 2,748 sq. kilometers of 3D seismic works were carried out, a producing exploration well was drilled to a depth of 4,393 meters, commercial oil and gas flows were received. The first phase of the project was completed in 2010.  </t>
  </si>
  <si>
    <t>Sales of crude oil and gas condensate (net of VAT, excise tax and customs duties), million US $*</t>
  </si>
  <si>
    <t>Sales of crude oil and gas condensate (net of VAT, excise tax and customs duties), million euro*</t>
  </si>
  <si>
    <t xml:space="preserve">Gazprom Group’s sales of refined products </t>
  </si>
  <si>
    <t>Refined products sales volumes, million tons</t>
  </si>
  <si>
    <t>Sales of electricity and heat energy, gas transportation sales</t>
  </si>
  <si>
    <t>Gazprom Group’s sales of electricity and heat energy</t>
  </si>
  <si>
    <t>Electricity sales volumes, billion kWh</t>
  </si>
  <si>
    <t>sales of purchased volumes</t>
  </si>
  <si>
    <t>Heat energy sales volumes, million Gcal</t>
  </si>
  <si>
    <t>million US $**</t>
  </si>
  <si>
    <t>million euro**</t>
  </si>
  <si>
    <t>Gas transportation sales</t>
  </si>
  <si>
    <r>
      <t xml:space="preserve">Gas transportation sales to companies other than </t>
    </r>
    <r>
      <rPr>
        <i/>
        <sz val="8"/>
        <rFont val="Times New Roman"/>
        <family val="1"/>
        <charset val="204"/>
      </rPr>
      <t xml:space="preserve">Gazprom Group’s </t>
    </r>
    <r>
      <rPr>
        <sz val="8"/>
        <rFont val="Times New Roman"/>
        <family val="1"/>
        <charset val="204"/>
      </rPr>
      <t>companies, bcm</t>
    </r>
  </si>
  <si>
    <t>Gas transportation sales (net of VAT)</t>
  </si>
  <si>
    <t>million US $*</t>
  </si>
  <si>
    <t>million euro*</t>
  </si>
  <si>
    <t>Environmental measures, energy saving, research and development</t>
  </si>
  <si>
    <t>Key indicators of Gazprom Group environmental impact</t>
  </si>
  <si>
    <t>For the year ended December  31,</t>
  </si>
  <si>
    <t>Hazardous atmospheric emission, thousands tons</t>
  </si>
  <si>
    <t xml:space="preserve">carbon oxidise </t>
  </si>
  <si>
    <t xml:space="preserve">nitrogen oxidise </t>
  </si>
  <si>
    <t xml:space="preserve">sulfur dioxide </t>
  </si>
  <si>
    <t xml:space="preserve">hydrocarbons (including methane) </t>
  </si>
  <si>
    <t>Discharge of waste water , mmcm</t>
  </si>
  <si>
    <t xml:space="preserve">including those into surface water objects </t>
  </si>
  <si>
    <t xml:space="preserve">among them waste water purified at sewerage treatment facilities according to standards </t>
  </si>
  <si>
    <t>Waste production, thousands tons</t>
  </si>
  <si>
    <t>Recultivated lands, thousands ha</t>
  </si>
  <si>
    <t>Gazprom Group’s environmental costs, million RR</t>
  </si>
  <si>
    <t>Current expenditures</t>
  </si>
  <si>
    <t>Payment for environmental pollution</t>
  </si>
  <si>
    <t>Capital expenditures related to environmental protection and rational use of natural resources</t>
  </si>
  <si>
    <t>mmcm</t>
  </si>
  <si>
    <t>thousand tce</t>
  </si>
  <si>
    <t xml:space="preserve">Electric power </t>
  </si>
  <si>
    <t xml:space="preserve">million kWh </t>
  </si>
  <si>
    <t xml:space="preserve">thousand tce </t>
  </si>
  <si>
    <t xml:space="preserve">Heat power </t>
  </si>
  <si>
    <t xml:space="preserve">thousand Gcal </t>
  </si>
  <si>
    <t>Total*, thousand tce</t>
  </si>
  <si>
    <t>* Excluding energy saving of other resources</t>
  </si>
  <si>
    <t>Research and development works contracted by Gazprom Group</t>
  </si>
  <si>
    <t xml:space="preserve">Research and development, bln RR (excluding VAT)  </t>
  </si>
  <si>
    <t xml:space="preserve">Personnel </t>
  </si>
  <si>
    <t>Gazprom Group’s average number of employees</t>
  </si>
  <si>
    <t xml:space="preserve">Average number of employees, in thousands  </t>
  </si>
  <si>
    <t>Personnel structure of Gazprom Group</t>
  </si>
  <si>
    <t xml:space="preserve">Number  of employees as of year-end, in thousands including: </t>
  </si>
  <si>
    <t>OAO Gazprom and its major subsidiaries with 100% equity participation*</t>
  </si>
  <si>
    <t xml:space="preserve">Gazprom Neft Group </t>
  </si>
  <si>
    <t xml:space="preserve">Other subsidiaries </t>
  </si>
  <si>
    <t xml:space="preserve">including by categories: </t>
  </si>
  <si>
    <t xml:space="preserve">management </t>
  </si>
  <si>
    <t xml:space="preserve">specialists </t>
  </si>
  <si>
    <t xml:space="preserve">workers </t>
  </si>
  <si>
    <t xml:space="preserve">other employees </t>
  </si>
  <si>
    <t xml:space="preserve">including by age: </t>
  </si>
  <si>
    <t xml:space="preserve">under 30 years </t>
  </si>
  <si>
    <t xml:space="preserve">30-40 years </t>
  </si>
  <si>
    <t xml:space="preserve">40-50 years </t>
  </si>
  <si>
    <t xml:space="preserve">Educational level of employees of Gazprom Group </t>
  </si>
  <si>
    <t xml:space="preserve">higher and post graduate </t>
  </si>
  <si>
    <t>specialized secondary</t>
  </si>
  <si>
    <t xml:space="preserve">secondary </t>
  </si>
  <si>
    <t>Management*:</t>
  </si>
  <si>
    <t>Specialsts:</t>
  </si>
  <si>
    <t>Workers:</t>
  </si>
  <si>
    <t>* Including all levels of management</t>
  </si>
  <si>
    <t>Convertion table</t>
  </si>
  <si>
    <t>Correspondence</t>
  </si>
  <si>
    <t>1 bcm of natural gas</t>
  </si>
  <si>
    <t>billion cubic feet (bcf) of natural gas</t>
  </si>
  <si>
    <t>1 billion cubic feet (bcf) of natural gas</t>
  </si>
  <si>
    <t>bcm of natural gas</t>
  </si>
  <si>
    <t>1 metric ton of crude oil</t>
  </si>
  <si>
    <t>kilos</t>
  </si>
  <si>
    <t>pounds</t>
  </si>
  <si>
    <t>barrels of crude oil</t>
  </si>
  <si>
    <t>1 ton of gas condensate</t>
  </si>
  <si>
    <t>barrels of gas condensate</t>
  </si>
  <si>
    <t>1 barrel of crude oil</t>
  </si>
  <si>
    <t>metric ton of crude oil</t>
  </si>
  <si>
    <t>1 barrel of gas condensate</t>
  </si>
  <si>
    <t xml:space="preserve">metric ton of gas condensate </t>
  </si>
  <si>
    <t>1 kilometer</t>
  </si>
  <si>
    <t>miles</t>
  </si>
  <si>
    <t>1 tce</t>
  </si>
  <si>
    <t>cm of natural gas</t>
  </si>
  <si>
    <t>ton of gas condensate</t>
  </si>
  <si>
    <t>ton of crude oil</t>
  </si>
  <si>
    <t>1 mcm of natural gas</t>
  </si>
  <si>
    <t>tce</t>
  </si>
  <si>
    <t>1 ton of oil</t>
  </si>
  <si>
    <t>1 barrel of gas condensate, 1 barrel of crude oil</t>
  </si>
  <si>
    <t>barrel of oil equivalent (boe)</t>
  </si>
  <si>
    <t>barrels of oil equivalent (boe)</t>
  </si>
  <si>
    <t>1 million tons of LNG</t>
  </si>
  <si>
    <t>ADR of OAO Gazprom</t>
  </si>
  <si>
    <t>American depository receipt representing OAO Gazprom’s shares. One ADR ia equal to four ordinary shares of OAO Gazprom.</t>
  </si>
  <si>
    <t>Billion cubic meters</t>
  </si>
  <si>
    <t>boe</t>
  </si>
  <si>
    <t>Barrel of oil equivalent</t>
  </si>
  <si>
    <t>CGPU</t>
  </si>
  <si>
    <t>Comprehensive gas processing unit</t>
  </si>
  <si>
    <t>CS</t>
  </si>
  <si>
    <t>Compressor Station</t>
  </si>
  <si>
    <t>Dollars, US $</t>
  </si>
  <si>
    <t>U.S. dollars</t>
  </si>
  <si>
    <t>Foreign countries, excluding FSU Countries and Baltic States</t>
  </si>
  <si>
    <t>Federal district</t>
  </si>
  <si>
    <t>FSU Countries</t>
  </si>
  <si>
    <t>Republics of the former USSR, except for the Russian Federation.</t>
  </si>
  <si>
    <t>Gas cubic meter</t>
  </si>
  <si>
    <t>Cubic meter of natural gas as measured at a pressure of one atmosphere and 20°C</t>
  </si>
  <si>
    <t>Gasification</t>
  </si>
  <si>
    <t>Construction of low-pressure gas pipelines to ensure gas supply to the ultimate consumers</t>
  </si>
  <si>
    <r>
      <t>Gazprom Group</t>
    </r>
    <r>
      <rPr>
        <sz val="8"/>
        <rFont val="Times New Roman"/>
        <family val="1"/>
        <charset val="204"/>
      </rPr>
      <t xml:space="preserve">, </t>
    </r>
    <r>
      <rPr>
        <i/>
        <sz val="8"/>
        <rFont val="Times New Roman"/>
        <family val="1"/>
        <charset val="204"/>
      </rPr>
      <t>Group</t>
    </r>
    <r>
      <rPr>
        <sz val="8"/>
        <rFont val="Times New Roman"/>
        <family val="1"/>
        <charset val="204"/>
      </rPr>
      <t xml:space="preserve">, </t>
    </r>
    <r>
      <rPr>
        <i/>
        <sz val="8"/>
        <rFont val="Times New Roman"/>
        <family val="1"/>
        <charset val="204"/>
      </rPr>
      <t>Gazprom</t>
    </r>
  </si>
  <si>
    <t xml:space="preserve">OAO Gazprom (head company) and its subsidiaries taken as a whole. </t>
  </si>
  <si>
    <t>GCLD</t>
  </si>
  <si>
    <t>Light distillate of gas condensate</t>
  </si>
  <si>
    <t>GPP</t>
  </si>
  <si>
    <t xml:space="preserve">Gas processing plant </t>
  </si>
  <si>
    <t>GPU</t>
  </si>
  <si>
    <t>Gas pumping unit</t>
  </si>
  <si>
    <t>GTS</t>
  </si>
  <si>
    <t>Gas transportation system</t>
  </si>
  <si>
    <r>
      <t>Hydrocarbon reserves (categories A+B+C</t>
    </r>
    <r>
      <rPr>
        <vertAlign val="subscript"/>
        <sz val="8"/>
        <rFont val="Times New Roman"/>
        <family val="1"/>
        <charset val="204"/>
      </rPr>
      <t>1</t>
    </r>
    <r>
      <rPr>
        <sz val="8"/>
        <rFont val="Times New Roman"/>
        <family val="1"/>
        <charset val="204"/>
      </rPr>
      <t>)</t>
    </r>
  </si>
  <si>
    <t xml:space="preserve">Explored reserves, according to the Russian reserves system. </t>
  </si>
  <si>
    <r>
      <t>Hydrocarbon reserves (categories C</t>
    </r>
    <r>
      <rPr>
        <vertAlign val="subscript"/>
        <sz val="8"/>
        <rFont val="Times New Roman"/>
        <family val="1"/>
        <charset val="204"/>
      </rPr>
      <t>1</t>
    </r>
    <r>
      <rPr>
        <sz val="8"/>
        <rFont val="Times New Roman"/>
        <family val="1"/>
        <charset val="204"/>
      </rPr>
      <t>+C</t>
    </r>
    <r>
      <rPr>
        <vertAlign val="subscript"/>
        <sz val="8"/>
        <rFont val="Times New Roman"/>
        <family val="1"/>
        <charset val="204"/>
      </rPr>
      <t>2</t>
    </r>
    <r>
      <rPr>
        <sz val="8"/>
        <rFont val="Times New Roman"/>
        <family val="1"/>
        <charset val="204"/>
      </rPr>
      <t>)</t>
    </r>
  </si>
  <si>
    <r>
      <t>Crude oil and gas reserves on the basis of geological and geophysical data within the known gas areas. Category C</t>
    </r>
    <r>
      <rPr>
        <vertAlign val="subscript"/>
        <sz val="8"/>
        <rFont val="Times New Roman"/>
        <family val="1"/>
        <charset val="204"/>
      </rPr>
      <t>2</t>
    </r>
    <r>
      <rPr>
        <sz val="8"/>
        <rFont val="Times New Roman"/>
        <family val="1"/>
        <charset val="204"/>
      </rPr>
      <t xml:space="preserve"> reserves are preliminary estimated.</t>
    </r>
  </si>
  <si>
    <t>kWh</t>
  </si>
  <si>
    <t>Kilowatt-hour</t>
  </si>
  <si>
    <t>LNG</t>
  </si>
  <si>
    <t>Liquefied natural gas</t>
  </si>
  <si>
    <t>LSE</t>
  </si>
  <si>
    <t>London Stock Exchange</t>
  </si>
  <si>
    <t>mcm</t>
  </si>
  <si>
    <t>Thousand cubic meters</t>
  </si>
  <si>
    <t>MICEX</t>
  </si>
  <si>
    <t>MICEX stock exchange</t>
  </si>
  <si>
    <t>Million cubic meters</t>
  </si>
  <si>
    <t>OAO Gazprom and its major subsidiaries with 100% equity participation</t>
  </si>
  <si>
    <t xml:space="preserve">OAO Gazprom and its gas production, transportation and storage subsidiaries </t>
  </si>
  <si>
    <t>OOO Gazprom dobycha Yamburg, OOO Gazprom dobycha Urengoy, OOO Gazprom dobycha Nadym, OOO Gazprom dobycha Noyabrsk, OOO Gazprom dobycha Orenburg, OOO Gazprom dobycha Astrahan, OOO Gazprom pererabotka, OOO Gazprom dobycha Krasnodar, OOO Gazprom transgaz Uhta, OOO Gazprom transgaz Surgut, OOO Gazprom transgaz Yugorsk, OOO Gazprom transgaz Sankt-Peterburg, OOO Gazprom transgaz Moskva, OOO Gazprom transgaz Tomsk, OOO Gazprom transgaz Chajkovskij, OOO Gazprom transgaz Ekaterinburg, OOO Gazprom transgaz Stavropol, OOO Gazprom transgaz Mahachkala, OOO Gazprom transgaz Nizhnij Novgorod, OOO Gazprom transgaz Saratov, OOO Gazprom transgaz Volgograd, OOO Gazprom transgaz Samara, OOO Gazprom transgaz Ufa, OOO Gazprom transgaz Kazan, OOO Gazprom transgaz-Kuban, OOO Gazprom PHG, OAO Vostokgazprom and its subsidiaries, ZAO Gazprom neft Orenburg, OOO Gazprom dobycha shelf, OOO Gazprom neft shelf, OAO Severneftegazprom (until 2007), OOO Purgazdobycha (until its merger with OOO Gazprom dobycha Noyabrsk in December 2008), OOO Servisneftegaz</t>
  </si>
  <si>
    <t>PHF</t>
  </si>
  <si>
    <t xml:space="preserve">Pentane-hexane fraction </t>
  </si>
  <si>
    <t>PRMS Standards</t>
  </si>
  <si>
    <t>International classification and assessment of hydrocarbon reserves under PRMS (Petroleum Resources Management System).</t>
  </si>
  <si>
    <t>RTS</t>
  </si>
  <si>
    <t>RTS stock exchange</t>
  </si>
  <si>
    <t>Rubles, RR</t>
  </si>
  <si>
    <t>Russian rubles</t>
  </si>
  <si>
    <t>SRTO-Torzhok</t>
  </si>
  <si>
    <t>Gas pipeline from Nothern parts of Tyumen region to Torzhok</t>
  </si>
  <si>
    <t>Standard coal equivalent</t>
  </si>
  <si>
    <t>Standard-natural unit. Calculated through a coefficient which equals to a thermal content of one kilo of the fuel devided by the thermal content of one kilo of the standart fuel (which is equal to 29.3076 MJ).</t>
  </si>
  <si>
    <t>A ton of standard coal equivalent</t>
  </si>
  <si>
    <t>ton</t>
  </si>
  <si>
    <t>Metric ton</t>
  </si>
  <si>
    <t>UGSF</t>
  </si>
  <si>
    <t>Underground gas storage facility</t>
  </si>
  <si>
    <t>UGSS</t>
  </si>
  <si>
    <t>Unified Gas Supply System of Russia</t>
  </si>
  <si>
    <t>VAT</t>
  </si>
  <si>
    <t>Value added tax</t>
  </si>
  <si>
    <t>WFLH</t>
  </si>
  <si>
    <t xml:space="preserve">Wide fraction of light hydrocarbons </t>
  </si>
  <si>
    <t>Terms and abbreviations</t>
  </si>
  <si>
    <t>Description</t>
  </si>
  <si>
    <t>Glossary of basic terms and abbreviations</t>
  </si>
  <si>
    <t>Major projects in the field of hydrocarbons search, exploration, and production in foreign countries</t>
  </si>
  <si>
    <t>Country</t>
  </si>
  <si>
    <t>Project name, purpose and description</t>
  </si>
  <si>
    <t xml:space="preserve">Year of project start </t>
  </si>
  <si>
    <t xml:space="preserve">Terms of participation in project </t>
  </si>
  <si>
    <t>Project progress</t>
  </si>
  <si>
    <t>Region</t>
  </si>
  <si>
    <t xml:space="preserve">Algeria
</t>
  </si>
  <si>
    <r>
      <t>Group’s</t>
    </r>
    <r>
      <rPr>
        <sz val="8"/>
        <rFont val="Times New Roman"/>
        <family val="1"/>
        <charset val="204"/>
      </rPr>
      <t xml:space="preserve"> participation in project – 49 %.</t>
    </r>
  </si>
  <si>
    <t>El Assel licenced area in Algeria</t>
  </si>
  <si>
    <t xml:space="preserve">Bolivia </t>
  </si>
  <si>
    <t xml:space="preserve">Ipati and Aquio, Acero blocks in Bolivia </t>
  </si>
  <si>
    <t>Venezuela</t>
  </si>
  <si>
    <t xml:space="preserve">In 2007, in accordance with license agreements 900 sq. kilometers of 3D seismic works were carried out. In 2009 exploration well drilling at blocks Urumaco-I was completed. </t>
  </si>
  <si>
    <t>Blocks Blanquilla and Tortuga</t>
  </si>
  <si>
    <t>Sales structure of Gazprom Group (net of VAT, excise tax, and customs duties)</t>
  </si>
  <si>
    <t>The Bank of New York Mellon</t>
  </si>
  <si>
    <t>х</t>
  </si>
  <si>
    <t>2010-2011</t>
  </si>
  <si>
    <t>7 403</t>
  </si>
  <si>
    <t>6 806</t>
  </si>
  <si>
    <t>6 464</t>
  </si>
  <si>
    <t>5 941</t>
  </si>
  <si>
    <t>1 001,2</t>
  </si>
  <si>
    <t>4 572,1</t>
  </si>
  <si>
    <t>2005-2006</t>
  </si>
  <si>
    <t>2006-2007</t>
  </si>
  <si>
    <t>2007-2008</t>
  </si>
  <si>
    <t>2008-2009</t>
  </si>
  <si>
    <t>2009-2010</t>
  </si>
  <si>
    <t>2013****</t>
  </si>
  <si>
    <t xml:space="preserve">  </t>
  </si>
  <si>
    <t>Preface</t>
  </si>
  <si>
    <r>
      <t xml:space="preserve">In the present Fact book, the term OAO Gazprom refers to the head company of the </t>
    </r>
    <r>
      <rPr>
        <i/>
        <sz val="10"/>
        <rFont val="Times New Roman"/>
        <family val="1"/>
        <charset val="204"/>
      </rPr>
      <t>Group,</t>
    </r>
    <r>
      <rPr>
        <sz val="10"/>
        <rFont val="Times New Roman"/>
        <family val="1"/>
        <charset val="204"/>
      </rPr>
      <t xml:space="preserve"> i.e. to Open Joint Stock Company Gazprom. The </t>
    </r>
    <r>
      <rPr>
        <i/>
        <sz val="10"/>
        <rFont val="Times New Roman"/>
        <family val="1"/>
        <charset val="204"/>
      </rPr>
      <t>Gazprom Group</t>
    </r>
    <r>
      <rPr>
        <sz val="10"/>
        <rFont val="Times New Roman"/>
        <family val="1"/>
        <charset val="204"/>
      </rPr>
      <t xml:space="preserve">, the </t>
    </r>
    <r>
      <rPr>
        <i/>
        <sz val="10"/>
        <rFont val="Times New Roman"/>
        <family val="1"/>
        <charset val="204"/>
      </rPr>
      <t>Group</t>
    </r>
    <r>
      <rPr>
        <sz val="10"/>
        <rFont val="Times New Roman"/>
        <family val="1"/>
        <charset val="204"/>
      </rPr>
      <t xml:space="preserve"> or </t>
    </r>
    <r>
      <rPr>
        <i/>
        <sz val="10"/>
        <rFont val="Times New Roman"/>
        <family val="1"/>
        <charset val="204"/>
      </rPr>
      <t>Gazprom</t>
    </r>
    <r>
      <rPr>
        <sz val="10"/>
        <rFont val="Times New Roman"/>
        <family val="1"/>
        <charset val="204"/>
      </rPr>
      <t xml:space="preserve"> imply OAO Gazprom and its subsidiaries taken as a whole. Similarly, the terms </t>
    </r>
    <r>
      <rPr>
        <i/>
        <sz val="10"/>
        <rFont val="Times New Roman"/>
        <family val="1"/>
        <charset val="204"/>
      </rPr>
      <t>Gazprom Neft Group</t>
    </r>
    <r>
      <rPr>
        <sz val="10"/>
        <rFont val="Times New Roman"/>
        <family val="1"/>
        <charset val="204"/>
      </rPr>
      <t xml:space="preserve"> and </t>
    </r>
    <r>
      <rPr>
        <i/>
        <sz val="10"/>
        <rFont val="Times New Roman"/>
        <family val="1"/>
        <charset val="204"/>
      </rPr>
      <t>Gazprom Neft</t>
    </r>
    <r>
      <rPr>
        <sz val="10"/>
        <rFont val="Times New Roman"/>
        <family val="1"/>
        <charset val="204"/>
      </rPr>
      <t xml:space="preserve"> refer to OAO Gazprom Neft and its subsidiaries, the term Sibur Holding refers to OAO Sibur Holding and its subsidiaries.</t>
    </r>
  </si>
  <si>
    <r>
      <t xml:space="preserve">Gazprom's operating results presented in the Fact book are stated based on the principles for preparing </t>
    </r>
    <r>
      <rPr>
        <i/>
        <sz val="10"/>
        <rFont val="Times New Roman"/>
        <family val="1"/>
        <charset val="204"/>
      </rPr>
      <t>Gazprom Group's</t>
    </r>
    <r>
      <rPr>
        <sz val="10"/>
        <rFont val="Times New Roman"/>
        <family val="1"/>
        <charset val="204"/>
      </rPr>
      <t xml:space="preserve"> consolidated accounting (financial) statements. At the same time some results of OAO Gazprom and its subsidiaries' operations are stated in compliance with the principles for preparing management reports. Figures calculated using these methods may differ due to differences in methodologies for preparing consolidated financial statements and management reports.</t>
    </r>
  </si>
  <si>
    <r>
      <t xml:space="preserve">Stated data in tons of coal equivalent and barrels of oil equivalent are calculated on basis of stated coefficients. </t>
    </r>
    <r>
      <rPr>
        <i/>
        <sz val="10"/>
        <rFont val="Times New Roman"/>
        <family val="1"/>
        <charset val="204"/>
      </rPr>
      <t>Group</t>
    </r>
    <r>
      <rPr>
        <sz val="10"/>
        <rFont val="Times New Roman"/>
        <family val="1"/>
        <charset val="204"/>
      </rPr>
      <t xml:space="preserve"> performs management accounting in metric units of measurement.</t>
    </r>
  </si>
  <si>
    <r>
      <rPr>
        <i/>
        <sz val="10"/>
        <rFont val="Times New Roman"/>
        <family val="1"/>
        <charset val="204"/>
      </rPr>
      <t>Gazprom's</t>
    </r>
    <r>
      <rPr>
        <sz val="10"/>
        <rFont val="Times New Roman"/>
        <family val="1"/>
        <charset val="204"/>
      </rPr>
      <t xml:space="preserve"> financial results are stated based on the principles for preparing </t>
    </r>
    <r>
      <rPr>
        <i/>
        <sz val="10"/>
        <rFont val="Times New Roman"/>
        <family val="1"/>
        <charset val="204"/>
      </rPr>
      <t>Gazprom Group's</t>
    </r>
    <r>
      <rPr>
        <sz val="10"/>
        <rFont val="Times New Roman"/>
        <family val="1"/>
        <charset val="204"/>
      </rPr>
      <t xml:space="preserve"> consolidated accounting (financial) statements in accordance with the Russian legislation. The currency of </t>
    </r>
    <r>
      <rPr>
        <i/>
        <sz val="10"/>
        <rFont val="Times New Roman"/>
        <family val="1"/>
        <charset val="204"/>
      </rPr>
      <t>Gazprom Group's</t>
    </r>
    <r>
      <rPr>
        <sz val="10"/>
        <rFont val="Times New Roman"/>
        <family val="1"/>
        <charset val="204"/>
      </rPr>
      <t xml:space="preserve"> consolidated accounting (financial) statements is the Russian Rouble. The data stated in US Dollars and Euro is calculated based on stated exchange rate and is not a data of </t>
    </r>
    <r>
      <rPr>
        <i/>
        <sz val="10"/>
        <rFont val="Times New Roman"/>
        <family val="1"/>
        <charset val="204"/>
      </rPr>
      <t>Group's</t>
    </r>
    <r>
      <rPr>
        <sz val="10"/>
        <rFont val="Times New Roman"/>
        <family val="1"/>
        <charset val="204"/>
      </rPr>
      <t xml:space="preserve"> financial statements.</t>
    </r>
  </si>
  <si>
    <t>Back to the Contents</t>
  </si>
  <si>
    <t>Factbook</t>
  </si>
  <si>
    <t>Gazprom in the Russian and global energy industry</t>
  </si>
  <si>
    <t>As of and for the year ended December 31,</t>
  </si>
  <si>
    <t>Share in the world natural gas industry</t>
  </si>
  <si>
    <t>Gas reserves*</t>
  </si>
  <si>
    <t>Gas production*</t>
  </si>
  <si>
    <t>Global gas sales*</t>
  </si>
  <si>
    <t>Share in the Russian  fuel and energy complex</t>
  </si>
  <si>
    <t xml:space="preserve">Russian natural gas reserves controlled </t>
  </si>
  <si>
    <t>Gas production**</t>
  </si>
  <si>
    <t>Crude oil and gas condensate production**</t>
  </si>
  <si>
    <t>Processing of natural and petroleum gas**</t>
  </si>
  <si>
    <t>Primary processing of oil and stable gas condensate**</t>
  </si>
  <si>
    <t>Power generation**</t>
  </si>
  <si>
    <t>Total length of trunk pipelines and pipeline branches, thousand km</t>
  </si>
  <si>
    <r>
      <t xml:space="preserve">** Based on Federal State Statistics Service, CDU TEC and </t>
    </r>
    <r>
      <rPr>
        <i/>
        <sz val="8"/>
        <rFont val="Times New Roman"/>
        <family val="1"/>
        <charset val="204"/>
      </rPr>
      <t>Gazprom</t>
    </r>
    <r>
      <rPr>
        <sz val="8"/>
        <rFont val="Times New Roman"/>
        <family val="1"/>
        <charset val="204"/>
      </rPr>
      <t xml:space="preserve"> figures.</t>
    </r>
  </si>
  <si>
    <r>
      <t xml:space="preserve">* Based on International Natural Gas Center "CEDIGAZ" and </t>
    </r>
    <r>
      <rPr>
        <i/>
        <sz val="8"/>
        <rFont val="Times New Roman"/>
        <family val="1"/>
        <charset val="204"/>
      </rPr>
      <t>Gazprom</t>
    </r>
    <r>
      <rPr>
        <sz val="8"/>
        <rFont val="Times New Roman"/>
        <family val="1"/>
        <charset val="204"/>
      </rPr>
      <t xml:space="preserve"> figures. Volume trade indicators are adjusted to Russian standard terms and conditions using 1.07 ratio </t>
    </r>
  </si>
  <si>
    <t>Macroeconomic Data</t>
  </si>
  <si>
    <t>Indicator *</t>
  </si>
  <si>
    <t>Measure</t>
  </si>
  <si>
    <t>Consumer price index (Y-o-Y December)</t>
  </si>
  <si>
    <t>Producer price index (Y-o-Y December)</t>
  </si>
  <si>
    <t>Nominal appreciation/devaluation of the exchange rate (RR/US $) as of the end of the year (Y-o-Y December)</t>
  </si>
  <si>
    <t>Real appreciation of the exchange rate (RR/US $) as of the end of the year (Y-o-Y December)</t>
  </si>
  <si>
    <t>Average exchange rate for the period (RR/US $)</t>
  </si>
  <si>
    <t>RR/US $</t>
  </si>
  <si>
    <t>Exchange rate at the end of the period (RR/US $)</t>
  </si>
  <si>
    <t>Nominal appreciation/devaluation of the exchange rate (RR/Euro) as of the end of the year (Y-o-Y December)</t>
  </si>
  <si>
    <t>Real appreciation of the exchange rate (RR/ Euro) as of the end of the year (Y-o-Y December)</t>
  </si>
  <si>
    <t>Average exchange rate for the period (RR/ Euro)</t>
  </si>
  <si>
    <t>Exchange rate at the end of the period (RR/ Euro)</t>
  </si>
  <si>
    <t>RR/ Euro</t>
  </si>
  <si>
    <t>US $/barrel</t>
  </si>
  <si>
    <t>Brent (Dated) oil price**</t>
  </si>
  <si>
    <t>Urals oil price (Mean CIF MED/NEW)**</t>
  </si>
  <si>
    <t>Brent (Dated) average annual oil price**</t>
  </si>
  <si>
    <t>Urals (Mean CIF MED/NWE) average annual oil price**</t>
  </si>
  <si>
    <t xml:space="preserve">* Economic indicators and exchange rates based on the data supplied by Central Bank of Russia and the Federal State Statistics </t>
  </si>
  <si>
    <t xml:space="preserve">** Source: Platts. </t>
  </si>
  <si>
    <t>Market Data</t>
  </si>
  <si>
    <t>Price per share on MICEX</t>
  </si>
  <si>
    <t>as of the end of the year</t>
  </si>
  <si>
    <t>minimum</t>
  </si>
  <si>
    <t>maximum</t>
  </si>
  <si>
    <t>Price per ADR on LSE</t>
  </si>
  <si>
    <t>Treasury shares (as of the end of the year)</t>
  </si>
  <si>
    <t>million shares</t>
  </si>
  <si>
    <t>RR</t>
  </si>
  <si>
    <t>US $</t>
  </si>
  <si>
    <t>Market capitalization (as of the end of the year)*</t>
  </si>
  <si>
    <t xml:space="preserve">billion US $ </t>
  </si>
  <si>
    <t xml:space="preserve">        Market capitalization year-on-year change</t>
  </si>
  <si>
    <t xml:space="preserve">MICEX index </t>
  </si>
  <si>
    <t>points</t>
  </si>
  <si>
    <t>MICEX index year-on-year change</t>
  </si>
  <si>
    <t>RTS index</t>
  </si>
  <si>
    <t>RTS index year-on-year change</t>
  </si>
  <si>
    <t xml:space="preserve">Daily average trading volume, MIСEX </t>
  </si>
  <si>
    <t>Daily average trading volume, LSE</t>
  </si>
  <si>
    <t>million ADRs</t>
  </si>
  <si>
    <t>Dividend per share **</t>
  </si>
  <si>
    <t>Share capital structure</t>
  </si>
  <si>
    <t>Shareholding controlled by the Russian Federation</t>
  </si>
  <si>
    <t>including:</t>
  </si>
  <si>
    <t>Federal Agency for State Property Management</t>
  </si>
  <si>
    <t>OAO Rosneftegaz</t>
  </si>
  <si>
    <t>OAO Rosgazifikatsiya</t>
  </si>
  <si>
    <t>Other</t>
  </si>
  <si>
    <t>Total</t>
  </si>
  <si>
    <t>* Market capitalization based on MICEX share price converted into US $</t>
  </si>
  <si>
    <t>Reserves classification</t>
  </si>
  <si>
    <t>Main differences between Russian Reserves System and International Standards</t>
  </si>
  <si>
    <t>The Russian reserves system differs significantly from the international standards in particular with respect to the manner in which and the extent to which commercial factors are taken into account in calculating reserves.</t>
  </si>
  <si>
    <t>Russian Reserves System</t>
  </si>
  <si>
    <r>
      <t>The Russian reserves system is based solely on an analysis of the geological attributes of reserves and takes into consideration the actual physical presence of hydrocarbons in geological formations or the probability of such physical presence. Explored reserves are represented by categories A, B, and C</t>
    </r>
    <r>
      <rPr>
        <vertAlign val="subscript"/>
        <sz val="10"/>
        <rFont val="Times New Roman"/>
        <family val="1"/>
        <charset val="204"/>
      </rPr>
      <t>1</t>
    </r>
    <r>
      <rPr>
        <sz val="10"/>
        <rFont val="Times New Roman"/>
        <family val="1"/>
        <charset val="204"/>
      </rPr>
      <t>; preliminary estimated reserves are represented by category C</t>
    </r>
    <r>
      <rPr>
        <vertAlign val="subscript"/>
        <sz val="10"/>
        <rFont val="Times New Roman"/>
        <family val="1"/>
        <charset val="204"/>
      </rPr>
      <t>2</t>
    </r>
    <r>
      <rPr>
        <sz val="10"/>
        <rFont val="Times New Roman"/>
        <family val="1"/>
        <charset val="204"/>
      </rPr>
      <t>; prospective resources are represented by category C</t>
    </r>
    <r>
      <rPr>
        <vertAlign val="subscript"/>
        <sz val="10"/>
        <rFont val="Times New Roman"/>
        <family val="1"/>
        <charset val="204"/>
      </rPr>
      <t>3</t>
    </r>
    <r>
      <rPr>
        <sz val="10"/>
        <rFont val="Times New Roman"/>
        <family val="1"/>
        <charset val="204"/>
      </rPr>
      <t>; and forecasted resources are represented by categories D</t>
    </r>
    <r>
      <rPr>
        <vertAlign val="subscript"/>
        <sz val="10"/>
        <rFont val="Times New Roman"/>
        <family val="1"/>
        <charset val="204"/>
      </rPr>
      <t>1</t>
    </r>
    <r>
      <rPr>
        <sz val="10"/>
        <rFont val="Times New Roman"/>
        <family val="1"/>
        <charset val="204"/>
      </rPr>
      <t xml:space="preserve"> and D</t>
    </r>
    <r>
      <rPr>
        <vertAlign val="subscript"/>
        <sz val="10"/>
        <rFont val="Times New Roman"/>
        <family val="1"/>
        <charset val="204"/>
      </rPr>
      <t>2</t>
    </r>
    <r>
      <rPr>
        <sz val="10"/>
        <rFont val="Times New Roman"/>
        <family val="1"/>
        <charset val="204"/>
      </rPr>
      <t>.</t>
    </r>
  </si>
  <si>
    <r>
      <t>According to the Russian reserves system, explored natural gas reserves in categories A, B and C</t>
    </r>
    <r>
      <rPr>
        <vertAlign val="subscript"/>
        <sz val="10"/>
        <rFont val="Times New Roman"/>
        <family val="1"/>
        <charset val="204"/>
      </rPr>
      <t>1</t>
    </r>
    <r>
      <rPr>
        <sz val="10"/>
        <rFont val="Times New Roman"/>
        <family val="1"/>
        <charset val="204"/>
      </rPr>
      <t xml:space="preserve"> are considered to be fully extractable. For oil and gas condensate reserves special index of extraction is used. This index is calculated taking into account geological and technical factors.</t>
    </r>
  </si>
  <si>
    <t>Category A reserves are calculated on the part of a deposit drilled in accordance with an approved de-velopment project for the oil or natural gas field. They represent reserves that have been analyzed in sufficient detail.</t>
  </si>
  <si>
    <t>Category B represents the reserves of a deposit, the oil or gas content of which has been determined on the basis of commercial flows of oil or gas obtained in wells at various hypsometric depths. The main parameters and the major features of the deposit that determine the conditions of its development have been studied in sufficient detail to draw up a project to develop the deposit.</t>
  </si>
  <si>
    <t>PRMS International Standards</t>
  </si>
  <si>
    <t>Under PRMS International Standards, reserves are classified as proved, probable and possible.</t>
  </si>
  <si>
    <t>Probable reserves are those reserves, in which hydrocarbons have been located within the geological structure with a lesser degree of certainty because fewer wells have been drilled and/or certain operational tests have not been conducted. Probable reserves are those that have a better than 50 % chance of being produced based on the available evidence and taking into account technical and economic factors.</t>
  </si>
  <si>
    <t>An evaluation of proved and probable natural gas reserves certainly involves multiple uncertainties. The accuracy of any reserves evaluation depends on the qual-ity of available information and engineering and geological interpretations. Based on the results of drilling, testing, and production after the audit date, reserves may be significantly restated upwards or downwards. Changes in the price of natural gas, gas condensate or oil may also affect proved and probable reserves esti-mates, as well as estimates of future net revenues and present worth, because the reserves are evaluated based on prices and costs as of the audit date.</t>
  </si>
  <si>
    <t>Differences between PRMS International Standards and SEC Standards</t>
  </si>
  <si>
    <r>
      <t>·</t>
    </r>
    <r>
      <rPr>
        <sz val="7"/>
        <rFont val="Times New Roman"/>
        <family val="1"/>
        <charset val="204"/>
      </rPr>
      <t xml:space="preserve">        </t>
    </r>
    <r>
      <rPr>
        <i/>
        <sz val="10"/>
        <rFont val="Times New Roman"/>
        <family val="1"/>
        <charset val="204"/>
      </rPr>
      <t>Duration of License</t>
    </r>
    <r>
      <rPr>
        <sz val="10"/>
        <rFont val="Times New Roman"/>
        <family val="1"/>
        <charset val="204"/>
      </rPr>
      <t>. Under PRMS Standards, proved reserves are projected to the economic production life of the evaluated field. Under SEC Standards, oil and gas deposits may not be classified as proved reserves if they will be recovered after the expiration of the license validity period unless the license holder has the right to renew the license and there is a demonstrated history of license renewal. The Subsoil Resources Law provides that a license holder shall be entitled to request an extension of an existing license where extractable reserves remain upon the expiration of the primary term of the license, provided that the license holder is in material compliance with the license agreement.</t>
    </r>
  </si>
  <si>
    <r>
      <t>·</t>
    </r>
    <r>
      <rPr>
        <sz val="7"/>
        <rFont val="Times New Roman"/>
        <family val="1"/>
        <charset val="204"/>
      </rPr>
      <t xml:space="preserve">        </t>
    </r>
    <r>
      <rPr>
        <i/>
        <sz val="10"/>
        <rFont val="Times New Roman"/>
        <family val="1"/>
        <charset val="204"/>
      </rPr>
      <t>Certainty of Existence</t>
    </r>
    <r>
      <rPr>
        <sz val="10"/>
        <rFont val="Times New Roman"/>
        <family val="1"/>
        <charset val="204"/>
      </rPr>
      <t>. Under PRMS International Standards, reserves in undeveloped drilling sites that are located more than one standard inter-well distance from a commercial producing well may be classified as proved reserves if there is "reasonable certainty" that they exist. Under SEC Guidelines, it must be "demonstrated with certainty" that reserves exist before they may be classified as proved reserves.</t>
    </r>
  </si>
  <si>
    <t>Gazprom Group’s hydrocarbons reserves in Russia</t>
  </si>
  <si>
    <t>As of December 31,</t>
  </si>
  <si>
    <t>Gas, bcm</t>
  </si>
  <si>
    <t>Gas, million tce</t>
  </si>
  <si>
    <t>Gas, million boe</t>
  </si>
  <si>
    <t>Gas condensate, million tons</t>
  </si>
  <si>
    <t>Gas condensate, million tce</t>
  </si>
  <si>
    <t>Gas condensate, million boe</t>
  </si>
  <si>
    <t>Crude oil, million tons</t>
  </si>
  <si>
    <t>Crude oil, million tce</t>
  </si>
  <si>
    <t>Crude oil, million boe</t>
  </si>
  <si>
    <t>Gas, gas condensate, crude oil, million tce</t>
  </si>
  <si>
    <t>Gas, gas condensate, crude oil, million boe</t>
  </si>
  <si>
    <t>Proved + probable  reserves present value *,</t>
  </si>
  <si>
    <t xml:space="preserve"> * Calculated as of  the end of respective period. Including reserve value of sulphur and helium.</t>
  </si>
  <si>
    <t>Current present value</t>
  </si>
  <si>
    <r>
      <t>Categories A+B+C</t>
    </r>
    <r>
      <rPr>
        <vertAlign val="subscript"/>
        <sz val="8"/>
        <rFont val="Times New Roman"/>
        <family val="1"/>
        <charset val="204"/>
      </rPr>
      <t>1</t>
    </r>
  </si>
  <si>
    <t>of which evaluated, %</t>
  </si>
  <si>
    <t>Proved</t>
  </si>
  <si>
    <t>Probable</t>
  </si>
  <si>
    <t>Proved + probable</t>
  </si>
  <si>
    <t>Gazprom Group subsidiaries’ gas reserves in Russia</t>
  </si>
  <si>
    <t>bcm</t>
  </si>
  <si>
    <t>million tce</t>
  </si>
  <si>
    <t>million boe</t>
  </si>
  <si>
    <t>OAO Gazprom and its major subsidiaries with 100% equity participation *</t>
  </si>
  <si>
    <t>ОАО Gazprom Neft and
its subsidiaries</t>
  </si>
  <si>
    <t>Proved**</t>
  </si>
  <si>
    <t>Probable**</t>
  </si>
  <si>
    <t>Proved + probable**</t>
  </si>
  <si>
    <t>Group participation in share capital (ordinary shares)</t>
  </si>
  <si>
    <t>ZAO Purgaz</t>
  </si>
  <si>
    <t>ОАО  Severneftegazprom**</t>
  </si>
  <si>
    <t>* See Glossary for the list of specific subsidiaries.</t>
  </si>
  <si>
    <t>*** Reserves as of the end of 2005 and 2006 are included to “OAO Gazprom and its major subsidiaries with 100% equity participation”.</t>
  </si>
  <si>
    <t>** As of the end of 2006 and 2007 – reserves of commercial gas, since the end of 2008 – reserves of separator gas.</t>
  </si>
  <si>
    <t>Gazprom Group subsidiaries’ gas condensate reserves in Russia</t>
  </si>
  <si>
    <t>million tons</t>
  </si>
  <si>
    <t>Gazprom Group subsidiaries’ crude oil reserves in Russia</t>
  </si>
  <si>
    <t>OAO Gazprom and its major subsidiaries with 100% eq-uity participation *</t>
  </si>
  <si>
    <t>ОАО Gazprom Neft and
its subsidiaries**</t>
  </si>
  <si>
    <t>** As of the end of 2009 excluding reserves of OAO NK Magma</t>
  </si>
  <si>
    <t>Urals federal district</t>
  </si>
  <si>
    <t>Northwestern federal district</t>
  </si>
  <si>
    <t>Southern and North Caucasian federal districts</t>
  </si>
  <si>
    <t>Privolzhsky federal district</t>
  </si>
  <si>
    <t>Siberian federal district</t>
  </si>
  <si>
    <t>Far East federal district</t>
  </si>
  <si>
    <t>Shelf</t>
  </si>
  <si>
    <t xml:space="preserve">Region </t>
  </si>
  <si>
    <t>Gas</t>
  </si>
  <si>
    <t>Crude oil</t>
  </si>
  <si>
    <t>Reserves as of December 31, 2005</t>
  </si>
  <si>
    <t>Additions to reserves as a result of exploration</t>
  </si>
  <si>
    <t>Receipt of licenses, including</t>
  </si>
  <si>
    <t>due to opening new fields ***</t>
  </si>
  <si>
    <t>as a result of tenders</t>
  </si>
  <si>
    <t>Return of licenses</t>
  </si>
  <si>
    <t>Acquisition of assets</t>
  </si>
  <si>
    <t>Disposal of assets</t>
  </si>
  <si>
    <t>Revaluation</t>
  </si>
  <si>
    <t>Production (including losses)</t>
  </si>
  <si>
    <t>Reserves as of December 31, 2006</t>
  </si>
  <si>
    <t>Transfer of reserves discovered in 2006 to the Undistributed Subsoil Fund of Russia **</t>
  </si>
  <si>
    <t>Reserves as of December 31, 2007</t>
  </si>
  <si>
    <t>due to resolution of Russian government, without tendering process</t>
  </si>
  <si>
    <t>Reserves as of December 31, 2008</t>
  </si>
  <si>
    <t>Reserves as of December 31, 2009</t>
  </si>
  <si>
    <r>
      <t>Transfer of reserves discovered in 2006</t>
    </r>
    <r>
      <rPr>
        <sz val="12"/>
        <rFont val="Times New Roman"/>
        <family val="1"/>
        <charset val="204"/>
      </rPr>
      <t xml:space="preserve"> </t>
    </r>
    <r>
      <rPr>
        <sz val="8"/>
        <rFont val="Times New Roman"/>
        <family val="1"/>
        <charset val="204"/>
      </rPr>
      <t xml:space="preserve">to the Undistributed Subsoil Fund of Russia, acquisitions
from other companies’ books ** </t>
    </r>
  </si>
  <si>
    <t>Reserves as of December 31, 2010</t>
  </si>
  <si>
    <r>
      <t>* Any changes in gas condensate reserves due to production are recognized as converted into stable gascondensate (C</t>
    </r>
    <r>
      <rPr>
        <sz val="5"/>
        <rFont val="Times New Roman"/>
        <family val="1"/>
        <charset val="204"/>
      </rPr>
      <t>5+</t>
    </r>
    <r>
      <rPr>
        <sz val="8"/>
        <rFont val="Times New Roman"/>
        <family val="1"/>
        <charset val="204"/>
      </rPr>
      <t xml:space="preserve">). The production volume of unstable gas condensate of </t>
    </r>
    <r>
      <rPr>
        <i/>
        <sz val="8"/>
        <rFont val="Times New Roman"/>
        <family val="1"/>
        <charset val="204"/>
      </rPr>
      <t>Gazprom Group</t>
    </r>
    <r>
      <rPr>
        <sz val="8"/>
        <rFont val="Times New Roman"/>
        <family val="1"/>
        <charset val="204"/>
      </rPr>
      <t xml:space="preserve"> see in Production section.  </t>
    </r>
  </si>
  <si>
    <r>
      <t xml:space="preserve">*** Including licenses recived by </t>
    </r>
    <r>
      <rPr>
        <i/>
        <sz val="8"/>
        <rFont val="Times New Roman"/>
        <family val="1"/>
        <charset val="204"/>
      </rPr>
      <t xml:space="preserve">Gazprom Group </t>
    </r>
    <r>
      <rPr>
        <sz val="8"/>
        <rFont val="Times New Roman"/>
        <family val="1"/>
        <charset val="204"/>
      </rPr>
      <t>in previous years.</t>
    </r>
  </si>
  <si>
    <t>Licenses</t>
  </si>
  <si>
    <t>License type *</t>
  </si>
  <si>
    <t>Southern and North Caucasian federal dis-tricts</t>
  </si>
  <si>
    <t>Siberiam federal district</t>
  </si>
  <si>
    <t>thousand square km</t>
  </si>
  <si>
    <t>Geological survey, exploration and productionof hydrocarbons (SEPL)</t>
  </si>
  <si>
    <t>Exploration and production of hydrocarbons (EPL)</t>
  </si>
  <si>
    <t>Licenses for geological survey (SL)</t>
  </si>
  <si>
    <t>* License types according to the Russian legislation</t>
  </si>
  <si>
    <t>Gazprom Group’s licenses for the main hydrocarbon fields as of December 31, 2010</t>
  </si>
  <si>
    <t>Year of production start</t>
  </si>
  <si>
    <t>Subsidiary – License holder</t>
  </si>
  <si>
    <t>Interest of the Group (%)</t>
  </si>
  <si>
    <t>Type of the field*</t>
  </si>
  <si>
    <t>Category of the license **</t>
  </si>
  <si>
    <t>License expiration year ***</t>
  </si>
  <si>
    <t>Western Siberia (Urals federal district)</t>
  </si>
  <si>
    <t>Urengoyskoye</t>
  </si>
  <si>
    <t>Yen-Yakhinskoye</t>
  </si>
  <si>
    <t>Severo-Urengoyskoye</t>
  </si>
  <si>
    <t>Pestsovoye</t>
  </si>
  <si>
    <t>ООО Gazprom dobycha Urengoy</t>
  </si>
  <si>
    <t>OGC</t>
  </si>
  <si>
    <t>G</t>
  </si>
  <si>
    <t>EPL</t>
  </si>
  <si>
    <t>SEPL</t>
  </si>
  <si>
    <t>Yamburgskoye</t>
  </si>
  <si>
    <t>Zapolyarnoye</t>
  </si>
  <si>
    <t>Tazovskoye</t>
  </si>
  <si>
    <t xml:space="preserve">Severo-Parusovoye </t>
  </si>
  <si>
    <t>Medvezhye</t>
  </si>
  <si>
    <t>Yamsoveiskoye</t>
  </si>
  <si>
    <t>Ubileynoye</t>
  </si>
  <si>
    <t>Kharasaveiskoye</t>
  </si>
  <si>
    <t>Bovanenkovskoye</t>
  </si>
  <si>
    <t>Novoportovskoye</t>
  </si>
  <si>
    <t>Komsomolskoye</t>
  </si>
  <si>
    <t>Yety-Purovskoye</t>
  </si>
  <si>
    <t>Zapadno-Tarkosalynskoye</t>
  </si>
  <si>
    <t>Uzhno-Russkoye</t>
  </si>
  <si>
    <t>Zapadno-Tambeyskoye</t>
  </si>
  <si>
    <t>Kruzenshternskoye</t>
  </si>
  <si>
    <t>Malyginskoye</t>
  </si>
  <si>
    <t>Severo-Tambeyskoye</t>
  </si>
  <si>
    <t>Tasiyskoye</t>
  </si>
  <si>
    <t>Antypajutinskoye</t>
  </si>
  <si>
    <t>Gubkinskoye</t>
  </si>
  <si>
    <t>ООО Gazprom dobycha Yamburg</t>
  </si>
  <si>
    <t>ООО Gazprom dobycha Nadym</t>
  </si>
  <si>
    <t xml:space="preserve">ООО Gazprom dobycha 
Noyabrsk
</t>
  </si>
  <si>
    <t>GC</t>
  </si>
  <si>
    <t>OAO Severneftegazprom</t>
  </si>
  <si>
    <t>OAO Gazprom</t>
  </si>
  <si>
    <t>ОАО Gazpromneft Noyabrskneftegaz *****</t>
  </si>
  <si>
    <t>Sugmutskoye</t>
  </si>
  <si>
    <t>Sutorminskoye and Severo-Karamovskoye</t>
  </si>
  <si>
    <t>Sporyshevskoye</t>
  </si>
  <si>
    <t>Priobskoye</t>
  </si>
  <si>
    <t>Vyngapurovskoye</t>
  </si>
  <si>
    <t>O</t>
  </si>
  <si>
    <t>ООО NK Sibneft-Ugra*****</t>
  </si>
  <si>
    <t>OOO Zapolyarneft *****</t>
  </si>
  <si>
    <t>Southern Russia (Southern federal district)</t>
  </si>
  <si>
    <t>Astrakhanskoye</t>
  </si>
  <si>
    <t>Zapadno-Astrakhanskoye</t>
  </si>
  <si>
    <t>ООО Gazprom dobycha Astrakhan</t>
  </si>
  <si>
    <t>South Urals region (Privolzhsky federal district)</t>
  </si>
  <si>
    <t>Orenburgskoye</t>
  </si>
  <si>
    <t>ООО Gazprom dobycha Orenburg</t>
  </si>
  <si>
    <t>Eastern Siberia and the Far East ( Siberian and Far East federal districts)</t>
  </si>
  <si>
    <t>Chayandinskoye</t>
  </si>
  <si>
    <t>Chikanskoye</t>
  </si>
  <si>
    <t>Sobinskoye</t>
  </si>
  <si>
    <t>ООО Gazprom dobycha Krasnoyarsk</t>
  </si>
  <si>
    <t>Russian sea shelf</t>
  </si>
  <si>
    <t>Shtokmanovskoye</t>
  </si>
  <si>
    <t>Prirazlomnoye</t>
  </si>
  <si>
    <t>Kamennomysskoye more</t>
  </si>
  <si>
    <t xml:space="preserve">Severo-Kamennomysskoye </t>
  </si>
  <si>
    <t>Dolginskoye</t>
  </si>
  <si>
    <t>Semakovskoye</t>
  </si>
  <si>
    <t>Kirinskoye</t>
  </si>
  <si>
    <t>OOO Gazprom neft Shelf</t>
  </si>
  <si>
    <t xml:space="preserve">OAO Gazprom </t>
  </si>
  <si>
    <t>** Russian legislation provides for several types of licenses applicable to the study, exploration and production of natural resources, including: Licenses for geological survey (SL); Licenses for exploration and production of hydrocarbons (EPL); and Licenses for geological survey, exploration and productionof hydrocarbons (SEPL). Abbreviations are stated according to the classification determined by the Russian legislation.</t>
  </si>
  <si>
    <t>Expansion of UGSS for providing the South Stream gas pipeline with gas</t>
  </si>
  <si>
    <t>Gas transportation through the territory of Russia for providing the South Stream gas pipeline with gas</t>
  </si>
  <si>
    <t xml:space="preserve">Around 2,446 km </t>
  </si>
  <si>
    <t xml:space="preserve">10 CS / 1,475 MW </t>
  </si>
  <si>
    <t>Up to 63 bcm</t>
  </si>
  <si>
    <t>South Stream</t>
  </si>
  <si>
    <t>Transportation of gas from Russia through the Black Sea and the territories of South and Central Europe</t>
  </si>
  <si>
    <t>Onshore section – from 1,500 to 2,300 km (depending on the route). Offshore section – about 930 km</t>
  </si>
  <si>
    <t>Up to 63 bcm (offshore section)</t>
  </si>
  <si>
    <t xml:space="preserve">Expansion of Urengoy Gas Transportation Center  </t>
  </si>
  <si>
    <t>3 CS / 272 MW</t>
  </si>
  <si>
    <t>40.3-47.5 bcm at different sections</t>
  </si>
  <si>
    <t>410.2 km of the linear section of the gas pipeline and 3 compressor stations with capacity of 272 MW had been commissioned as of December 31, 2010.</t>
  </si>
  <si>
    <t>Transportation of the increasing volumes of natural gas produced by Gazprom and independent producers at the fields that are under development in the Nadym-Pur-Tazovsky region</t>
  </si>
  <si>
    <t>Around 400 km</t>
  </si>
  <si>
    <t>1 223 km</t>
  </si>
  <si>
    <t xml:space="preserve">Precaspian gas pipeline </t>
  </si>
  <si>
    <t>Transportation of Turkmen and Kazakh natural gas through the territories of Turkmenistan, Kazakhstan and Russia.</t>
  </si>
  <si>
    <t>Up to 20 bcm</t>
  </si>
  <si>
    <t>In September 2008 OAO Gazprom, AO NK KazMunayGaz and GK Turkmengas signed an Agreement on the main principles of cooperation on the Precaspian pipeline building, a Regulation on the coordinating committee and a Regulation on the project managing group. The basic assignment for the project feasibility study and key input data for the project were approved.</t>
  </si>
  <si>
    <t>Murmansk – Volkhov</t>
  </si>
  <si>
    <t>Natural gas supplies from the Shtokmanovskoye field to the consumers in the North-Western region of Russia</t>
  </si>
  <si>
    <t>1,365 km</t>
  </si>
  <si>
    <t>10 CS / 1,225 MW</t>
  </si>
  <si>
    <t>Up to 46 bcm (depending upon the production volume at the Shtokmanovskoye field)</t>
  </si>
  <si>
    <t>Gathering input data and its reconciliation has been completed. Engineering surveys are being performed. Development of design documentation is being conducted.</t>
  </si>
  <si>
    <t xml:space="preserve">Gas processing, oil refining and petrochemicals plants </t>
  </si>
  <si>
    <t>Company</t>
  </si>
  <si>
    <t>Location</t>
  </si>
  <si>
    <t>Year of establishmet</t>
  </si>
  <si>
    <t>Product range</t>
  </si>
  <si>
    <t>Annual processing  / production capacity  as of December 31, 2010</t>
  </si>
  <si>
    <t>Astrakhan gas processing plant (GPP)</t>
  </si>
  <si>
    <t>Astrakhan</t>
  </si>
  <si>
    <t>Dry natural gas, stable condensate, liquefied gas, wide fraction of light hydrocarbons (WFLH), gasoline, diesel fuel, heating oil, sulfur</t>
  </si>
  <si>
    <t>Orenburg GPP</t>
  </si>
  <si>
    <t>Orenburg</t>
  </si>
  <si>
    <t>Dry natural gas, stable condensate, liquefied gas, WFLH, gas sulfur, odorants</t>
  </si>
  <si>
    <t>Orenburg helium plant</t>
  </si>
  <si>
    <t>Helium gaseous and liquefied, dry natural gas, liquefied gas, ethane, WFLH, PHF</t>
  </si>
  <si>
    <t>ООО Gazprom pererabotka</t>
  </si>
  <si>
    <t>Sosnogorsk, Komi republic</t>
  </si>
  <si>
    <t>Dry natural gas, stable gas condensate, liquefied gas, motor gasoline, technical carbon</t>
  </si>
  <si>
    <t xml:space="preserve">Urengoy condensate preparation plant </t>
  </si>
  <si>
    <t>Urengoy</t>
  </si>
  <si>
    <t>De-ethanized gas condensate, stable gas condensate, liquefied gas, motor gasoline, diesel fuel, gas condensate light distillate (GCLD)</t>
  </si>
  <si>
    <t>Surgut condensate stabilization plant</t>
  </si>
  <si>
    <t>Surgut</t>
  </si>
  <si>
    <t>Stable gas condensate (oil), motor gasoline, diesel fuel, TS-1 engine jet fuel, liquefied gas, WFLH, PHF, GCLD</t>
  </si>
  <si>
    <t>Methanol production plant</t>
  </si>
  <si>
    <t>ООО Sibmetahim</t>
  </si>
  <si>
    <t>Tomsk</t>
  </si>
  <si>
    <t>750 thousand tons of methanol</t>
  </si>
  <si>
    <t>Methanol, formalin, amino-formaldehyde resin</t>
  </si>
  <si>
    <t>Omsk oil refinery</t>
  </si>
  <si>
    <t>OAO Gazprom Neft</t>
  </si>
  <si>
    <t>Omsk</t>
  </si>
  <si>
    <t>19.5 million tons of oil</t>
  </si>
  <si>
    <t xml:space="preserve">Motor and technical gasoline, diesel fuel, jet fuel, heating oil, lubricants, aromatic hydrocarbons, hydrocarbon liquefied gases, oil bitumens, sulphur </t>
  </si>
  <si>
    <t>Moscow oil refinery</t>
  </si>
  <si>
    <t>ОАО Moscow Oil Refinery</t>
  </si>
  <si>
    <t>Moscow</t>
  </si>
  <si>
    <t xml:space="preserve">12.15 million tons of oil </t>
  </si>
  <si>
    <t>Motor and technical gasoline, diesel fuel, jet fuel, heating oil, oil asphalt, hydrocarbon liquefied gases, sulphur</t>
  </si>
  <si>
    <t>Lubricants plant in Bari</t>
  </si>
  <si>
    <t>Bari (Italy)</t>
  </si>
  <si>
    <t>30 thousand tons of oils and 6 thousand tons of lubricants</t>
  </si>
  <si>
    <t>Motor and technical oils, lubricants</t>
  </si>
  <si>
    <t>Oil refinery in  Panchevo</t>
  </si>
  <si>
    <t xml:space="preserve">Motor and technical gasoline, diesel fuel, jet fuel, heating oil, odorants, hydrocarbon liquefied gases, liquid bitumens, sulfur, propylene </t>
  </si>
  <si>
    <t>Panchevo (Serbia)</t>
  </si>
  <si>
    <t>Novi-Sad  (Serbia)</t>
  </si>
  <si>
    <t xml:space="preserve">Oil refinery in
in Novi-Sad
</t>
  </si>
  <si>
    <t>Motor gasoline, diesel fuel, heating oil, lubricants, liquid bitumens</t>
  </si>
  <si>
    <t>7,3 million tons of oil</t>
  </si>
  <si>
    <t>Annual processing  / production capacity as of December 31, 2010</t>
  </si>
  <si>
    <t>Yaroslavnefteorgsintez</t>
  </si>
  <si>
    <t>ОАО NGK Slavneft</t>
  </si>
  <si>
    <t>Yaroslavl</t>
  </si>
  <si>
    <t>15.2 million tons of oil</t>
  </si>
  <si>
    <t>Motor and technical gasoline, diesel fuel, jet fuel, heating oil, lubricants, odorants, sulfur, sulphuric acid, paraffin and wax products</t>
  </si>
  <si>
    <t>Gazprom in the Russian and world energy industry</t>
  </si>
  <si>
    <t>Macroeconomic data</t>
  </si>
  <si>
    <t>Market data</t>
  </si>
  <si>
    <t>Gazprom Group’s quarterly production of liquid hydrocarbons in Russia</t>
  </si>
  <si>
    <t>Gazprom Group’s hydrocarbons production set out by regions of the Russian Federation</t>
  </si>
  <si>
    <t>Geologic exploration, production drilling and production capacity</t>
  </si>
  <si>
    <t>Major projects in the field of hydrocarbon search, exploration, and production in foreign countries</t>
  </si>
  <si>
    <t>Underground gas storage</t>
  </si>
  <si>
    <t>Personnel</t>
  </si>
  <si>
    <t>16.8%</t>
  </si>
  <si>
    <t>18.1%</t>
  </si>
  <si>
    <t>27.1%</t>
  </si>
  <si>
    <t>62.4%</t>
  </si>
  <si>
    <t>84.7%</t>
  </si>
  <si>
    <t>9.4%</t>
  </si>
  <si>
    <t>76.9%</t>
  </si>
  <si>
    <t>14.0%</t>
  </si>
  <si>
    <t>156.9</t>
  </si>
  <si>
    <t>16.5%</t>
  </si>
  <si>
    <t>17.4%</t>
  </si>
  <si>
    <t>27.0%</t>
  </si>
  <si>
    <t>62.1%</t>
  </si>
  <si>
    <t>83.9%</t>
  </si>
  <si>
    <t>9.2%</t>
  </si>
  <si>
    <t>70.2%</t>
  </si>
  <si>
    <t>14.1%</t>
  </si>
  <si>
    <t>3.1%</t>
  </si>
  <si>
    <t>158.2</t>
  </si>
  <si>
    <t>18.0%</t>
  </si>
  <si>
    <t>16.7%</t>
  </si>
  <si>
    <t>25.4%</t>
  </si>
  <si>
    <t>68.9%</t>
  </si>
  <si>
    <t>82.7%</t>
  </si>
  <si>
    <t>8.8%</t>
  </si>
  <si>
    <t>59.1%</t>
  </si>
  <si>
    <t>14.5%</t>
  </si>
  <si>
    <t>10.5%</t>
  </si>
  <si>
    <t>159.5</t>
  </si>
  <si>
    <t>22.1%</t>
  </si>
  <si>
    <t>69.8%</t>
  </si>
  <si>
    <t>79.2%</t>
  </si>
  <si>
    <t>8.4%</t>
  </si>
  <si>
    <t>47.6%</t>
  </si>
  <si>
    <t>15.5%</t>
  </si>
  <si>
    <t>13.9%</t>
  </si>
  <si>
    <t>160.4</t>
  </si>
  <si>
    <t>17.6%</t>
  </si>
  <si>
    <t>14.8%</t>
  </si>
  <si>
    <t>20.1%</t>
  </si>
  <si>
    <t>68.7%</t>
  </si>
  <si>
    <t>78.1%</t>
  </si>
  <si>
    <t>8.6%</t>
  </si>
  <si>
    <t>49.9%</t>
  </si>
  <si>
    <t>16.9%</t>
  </si>
  <si>
    <t>161.7</t>
  </si>
  <si>
    <t>Bovanenkovo –
Ukhta
(the first line)</t>
  </si>
  <si>
    <t>Ukhta – Torzhok
(the first branch)</t>
  </si>
  <si>
    <t>Gas pipeline system
for gas transportation
from the Yamal Peninsula
fields to central regions
of Russia</t>
  </si>
  <si>
    <t>1,247 km</t>
  </si>
  <si>
    <t>1,371 km</t>
  </si>
  <si>
    <t>9 CS /
1,096 MW</t>
  </si>
  <si>
    <t>9 CS /
869 MW</t>
  </si>
  <si>
    <t>60 bcm</t>
  </si>
  <si>
    <t>45 bcm</t>
  </si>
  <si>
    <t>Sakhalin –
Khabarovsk –
Vladivostok
(the first startup
facility)</t>
  </si>
  <si>
    <t>1 CS /
32 MW</t>
  </si>
  <si>
    <t>5 bcm</t>
  </si>
  <si>
    <t>Sobolevo –
Petropavlovsk-
Kamchatsky</t>
  </si>
  <si>
    <t>Gas supply to the city of
Petropavlovsk-Kamchatsky
from the fields on the west
coast of the Kamchatka
Peninsula</t>
  </si>
  <si>
    <t>395 km</t>
  </si>
  <si>
    <t>750 mmcm</t>
  </si>
  <si>
    <t>In 2010, the pipeline was commissioned,
gas supplies to TPP-2 of Petropavlovsk-
Kamchatsky began.</t>
  </si>
  <si>
    <t>Altai gas
pipeline</t>
  </si>
  <si>
    <t>Pipeline gas supplies
from Russia to China via
the western route</t>
  </si>
  <si>
    <t>2,622 km</t>
  </si>
  <si>
    <t>10 CS</t>
  </si>
  <si>
    <t>30 bcm</t>
  </si>
  <si>
    <t>Negotiations on commercial terms of gas
supplies are being held.</t>
  </si>
  <si>
    <t>Dzhubga –
Lazarevskoye –
Sochi</t>
  </si>
  <si>
    <t>3.8 bcm</t>
  </si>
  <si>
    <t>50,001% (votes)</t>
  </si>
  <si>
    <t>Urals Federal District (FD)</t>
  </si>
  <si>
    <t>Northwestern FD</t>
  </si>
  <si>
    <t>Southern and North Caucasian FDs</t>
  </si>
  <si>
    <t>Privolzhsky FD</t>
  </si>
  <si>
    <t>Siberian and Far East FDs</t>
  </si>
  <si>
    <t>Urals FD</t>
  </si>
  <si>
    <t xml:space="preserve">Privolzhsky FD </t>
  </si>
  <si>
    <t>In 2008–2009, 4,294 sq. kilometers of 3D seismic works were carried out in the area № 64. In 2010–2012, drilling of six prospecting wells and six exploration wells was planned. In January 2011, drilling of the first well began.
Works on the projects have been suspended due to the unrest in the country.</t>
  </si>
  <si>
    <t xml:space="preserve">Partner – the Algerian state oil and gas company Sonatrach. </t>
  </si>
  <si>
    <t>Contractor – the Algerian National Agency for the Valorization of Hydrocarbon Resources (ALNAFT).</t>
  </si>
  <si>
    <t xml:space="preserve">In 2010–2012, three exploration wells are planned to be drilled, 400 sq. kilometers of 3D seismic works are planned to be carried out as part of the “Ipati / Aquio” project. In 2010 drilling of the first well began.
Negotiations with the Bolivian YPFB and French Total on terms of the “Acero” project participation continue. The Group’s participation in the project may amount to no less than 20%.
</t>
  </si>
  <si>
    <t xml:space="preserve">Hydrocarbon exploration and development of the onshore area El-Assel located in the Berkine geological Basin (the east of Algeria, the Sahara Desert) – licensed blocks 236b, 404a1, and 405b1.
In 2010, according to the contract terms, 30% of the area was returned to Algeria in the process of moving to the second phase of the exploration period. As of December 31, 2010 the area amounted to 2,249.5 sq. kilometers.
</t>
  </si>
  <si>
    <t xml:space="preserve">Geological exploration and development of hydrocarbons at Ipati and Aquio, Acero blocks that are located in the Andes foothills in the Subandino oil and gas basin. </t>
  </si>
  <si>
    <t>“Rafael–Urdaneta, Phase A” Project: geologic exploration and gas field development of the licensed areas at blocks Urumaco-I and Urumaco-II in the eastern part of the Gulf of Venezuela.</t>
  </si>
  <si>
    <t>In 2010, the construction of two exploration wells was completed at the block № 112, 3,364 meters were drilled. 11,200 linear km of 2D seismic works were carried out at the blocks №129–132, geochemical surveys were completed – 2,000 samples were collected.</t>
  </si>
  <si>
    <r>
      <t>In 2009, in the result of works carried in the bay of  Bak Bo on the shelf of Vietnam, the Bao Den gascondensate field with CO</t>
    </r>
    <r>
      <rPr>
        <vertAlign val="subscript"/>
        <sz val="8"/>
        <rFont val="Times New Roman"/>
        <family val="1"/>
        <charset val="204"/>
      </rPr>
      <t>2</t>
    </r>
    <r>
      <rPr>
        <sz val="8"/>
        <rFont val="Times New Roman"/>
        <family val="1"/>
        <charset val="204"/>
      </rPr>
      <t xml:space="preserve"> highly concentrated gas and gas condensate lays was discovered.</t>
    </r>
  </si>
  <si>
    <t>The infrastructure development project provides for construction of two comprehensive gas processing units (CGPU) with total annual capacity equal to 
15 bcm. In 2010 construction of the first CGPU was completed, commissioning of the second CGPU is planned for 2012–2013.</t>
  </si>
  <si>
    <t>2013–2014</t>
  </si>
  <si>
    <t>Urengoyskoye field (Achimovsk Deposits)</t>
  </si>
  <si>
    <t>The block 1 was put into pilot development in 2008. The block is being developed by ZAO Achimgaz – a joint venture established together with Wintershall Holding GmbH.</t>
  </si>
  <si>
    <t xml:space="preserve">2016–2019 </t>
  </si>
  <si>
    <t>The blocks 3–5 are planned for commissioning in 2015–2017.</t>
  </si>
  <si>
    <t xml:space="preserve">2015–2017 </t>
  </si>
  <si>
    <t>2017–2018</t>
  </si>
  <si>
    <t>2019–2021</t>
  </si>
  <si>
    <t>1994 – beginning of the pilot development</t>
  </si>
  <si>
    <t>Eastern part of the Orenburgskoye field</t>
  </si>
  <si>
    <t>1958–1961</t>
  </si>
  <si>
    <r>
      <t>■</t>
    </r>
    <r>
      <rPr>
        <sz val="8"/>
        <rFont val="Times New Roman"/>
        <family val="1"/>
        <charset val="204"/>
      </rPr>
      <t>15.0 bcm of gas</t>
    </r>
  </si>
  <si>
    <r>
      <t>■</t>
    </r>
    <r>
      <rPr>
        <sz val="8"/>
        <rFont val="Times New Roman"/>
        <family val="1"/>
        <charset val="204"/>
      </rPr>
      <t>3 bcm of gas,</t>
    </r>
  </si>
  <si>
    <r>
      <t>■</t>
    </r>
    <r>
      <rPr>
        <sz val="8"/>
        <rFont val="Times New Roman"/>
        <family val="1"/>
        <charset val="204"/>
      </rPr>
      <t>12.0 bcm of gas</t>
    </r>
  </si>
  <si>
    <r>
      <t>■</t>
    </r>
    <r>
      <rPr>
        <sz val="8"/>
        <rFont val="Times New Roman"/>
        <family val="1"/>
        <charset val="204"/>
      </rPr>
      <t>7.3 million tons of gas condensate and crude oil</t>
    </r>
  </si>
  <si>
    <r>
      <t>■</t>
    </r>
    <r>
      <rPr>
        <sz val="8"/>
        <rFont val="Times New Roman"/>
        <family val="1"/>
        <charset val="204"/>
      </rPr>
      <t>37.5 bcm of gas</t>
    </r>
  </si>
  <si>
    <r>
      <t>■</t>
    </r>
    <r>
      <rPr>
        <sz val="8"/>
        <rFont val="Times New Roman"/>
        <family val="1"/>
        <charset val="204"/>
      </rPr>
      <t>6.2 million tons of gas condensate and crude oil</t>
    </r>
  </si>
  <si>
    <r>
      <t>■</t>
    </r>
    <r>
      <rPr>
        <sz val="8"/>
        <rFont val="Times New Roman"/>
        <family val="1"/>
        <charset val="204"/>
      </rPr>
      <t xml:space="preserve">1.25 million tons of unstable condensate (deethanization) </t>
    </r>
  </si>
  <si>
    <r>
      <t>■</t>
    </r>
    <r>
      <rPr>
        <sz val="8"/>
        <rFont val="Times New Roman"/>
        <family val="1"/>
        <charset val="204"/>
      </rPr>
      <t>13.9 million tons of unstable condensate (deethanization and stabilization)</t>
    </r>
  </si>
  <si>
    <r>
      <t>■</t>
    </r>
    <r>
      <rPr>
        <sz val="8"/>
        <rFont val="Times New Roman"/>
        <family val="1"/>
        <charset val="204"/>
      </rPr>
      <t>8.05 million tons of unstable condensate including deethanized (stabilization)</t>
    </r>
  </si>
  <si>
    <r>
      <t xml:space="preserve">Lenth of external gas pipelines, operated by </t>
    </r>
    <r>
      <rPr>
        <i/>
        <sz val="8"/>
        <rFont val="Times New Roman"/>
        <family val="1"/>
        <charset val="204"/>
      </rPr>
      <t xml:space="preserve">Gazprom Group’s </t>
    </r>
    <r>
      <rPr>
        <sz val="8"/>
        <rFont val="Times New Roman"/>
        <family val="1"/>
        <charset val="204"/>
      </rPr>
      <t>subsidiary and dependent gas distribution companies (GDCs), thousand kilometres</t>
    </r>
  </si>
  <si>
    <t>Expenditures on refurbishment of fixed assets related to environmental protection</t>
  </si>
  <si>
    <t>over 50 years</t>
  </si>
  <si>
    <t>«Gazprom in figures 2006–2010»</t>
  </si>
  <si>
    <t>** For 2010 – recommended dividents</t>
  </si>
  <si>
    <t>Proved reserves include reserves that are confirmed with a high degree of certainty through an analysis of the development history and/or volume method analy-sis of the relevant geological and engineering data. Proved reserves are those that have a better than 90 % chance of being produced based on the available evidence and taking into account technical and ecnomic factors.</t>
  </si>
  <si>
    <t>When assessing the recoverable reserves PRMS International Standards take into account not only the probability that hydrocarbons are present in a given geological formation but also the economic viability of recovering the reserves. Exploration and drilling costs, ongoing production costs, transportation costs, taxes, prevailing prices for hydrocarbons, and other factors that influence the economic viability of a given deposit are taken into consideration.</t>
  </si>
  <si>
    <r>
      <t xml:space="preserve">Gazprom's </t>
    </r>
    <r>
      <rPr>
        <sz val="10"/>
        <rFont val="Times New Roman"/>
        <family val="1"/>
        <charset val="204"/>
      </rPr>
      <t>hydrocarbon reserves are estimated using both the Russian reserves system and international methodologies developed as part of the Petroleum Resources Management System (PRMS Standards). PRMS, a new international reserve evaluation standard replaced SPE definitions published in 1997.</t>
    </r>
  </si>
  <si>
    <t xml:space="preserve"> ** Under the law of the Russian Federation, the subsoil user does not have any vested right to develop reserves discovered in areas covered by exploration licenses or beyond the licensed areas. Such reserves shall be transferred to the Undistributed Subsoil Fund of the Russian Federation. Subsequently the subsoil user has a preference right to receive a license for their development.</t>
  </si>
  <si>
    <t>**** The license granted for the subsoil use of the Urengoyskoye OGC field (including the Urengoyskaya and Yen-Yakhinskaya areas).</t>
  </si>
  <si>
    <t>**** A part of Gazprom Neft Group.</t>
  </si>
  <si>
    <t>Gazprom Group’s hydrocarbons production in Russia</t>
  </si>
  <si>
    <t>Gas production</t>
  </si>
  <si>
    <t>Gas condensate production</t>
  </si>
  <si>
    <t>Crude oil production</t>
  </si>
  <si>
    <t>Gazprom Group’s quarterly gas production in Russia</t>
  </si>
  <si>
    <t>For the year ended December 31,</t>
  </si>
  <si>
    <t>Total for the year</t>
  </si>
  <si>
    <t>ОАО Gazprom Neft and its subsidiaries</t>
  </si>
  <si>
    <t>ОАО  Severneftegazprom</t>
  </si>
  <si>
    <t>Total production of Gazprom Group</t>
  </si>
  <si>
    <t>Gazprom Group’s quarterly production of gas condensate in Russia</t>
  </si>
  <si>
    <t>Gazprom Group’s quarterly production of oil in Russia</t>
  </si>
  <si>
    <t>Q1</t>
  </si>
  <si>
    <t>Q2</t>
  </si>
  <si>
    <t>Q3</t>
  </si>
  <si>
    <t>Q4</t>
  </si>
  <si>
    <t>FD</t>
  </si>
  <si>
    <t>Federal district (FD)</t>
  </si>
  <si>
    <t>Gas condensate,  million tce</t>
  </si>
  <si>
    <t>Gas condensate,  million boe</t>
  </si>
  <si>
    <t>Crude oil,  million tce</t>
  </si>
  <si>
    <t>Crude oil,  million boe</t>
  </si>
  <si>
    <t>Total hydrocarbons production, million tce</t>
  </si>
  <si>
    <t>Total hydrocarbons production, million boe</t>
  </si>
  <si>
    <t>Geological exploration, production drilling and production capacity</t>
  </si>
  <si>
    <t>Areas of geologic exploration works carried out in Russia</t>
  </si>
  <si>
    <t>Key figures of Gazprom Group’s geological exploration activities in Russia</t>
  </si>
  <si>
    <t>Exploration drilling, thousand meters</t>
  </si>
  <si>
    <t>Completed exploration wells, units</t>
  </si>
  <si>
    <t>including successful wells</t>
  </si>
  <si>
    <t>Seismic exploration 2D, thousand line km</t>
  </si>
  <si>
    <t>Seismic exploration 3D, thousand km2</t>
  </si>
  <si>
    <t>Drilling throughput, tce / m</t>
  </si>
  <si>
    <t>Drilling throughput, boe / m</t>
  </si>
  <si>
    <t>For the year  ended December 31,</t>
  </si>
  <si>
    <t>Reserves increment due to geological exploration and Reserves replacement ratio</t>
  </si>
  <si>
    <t>Natural gas, bcm</t>
  </si>
  <si>
    <t>Natural gas, million tce</t>
  </si>
  <si>
    <t>Total, million tce</t>
  </si>
  <si>
    <t>Reserves increment due to geological exploration</t>
  </si>
  <si>
    <t>Natural gas, million boe</t>
  </si>
  <si>
    <t>Reserves replacement ratio</t>
  </si>
  <si>
    <t>Natural gas</t>
  </si>
  <si>
    <t>Gas condensate</t>
  </si>
  <si>
    <t>Production drilling in Russia</t>
  </si>
  <si>
    <t>Constructed produciton wells, units</t>
  </si>
  <si>
    <t xml:space="preserve">Natural gas </t>
  </si>
  <si>
    <t xml:space="preserve">Crude oil </t>
  </si>
  <si>
    <t>At UGSF</t>
  </si>
  <si>
    <t xml:space="preserve">Total </t>
  </si>
  <si>
    <t>Penetration in exploration drilling, thousand m</t>
  </si>
  <si>
    <t>Gazprom Group’s production capacity in Russia</t>
  </si>
  <si>
    <t>Producing fields, units</t>
  </si>
  <si>
    <t>Gas production wells, units</t>
  </si>
  <si>
    <t>including those in operation</t>
  </si>
  <si>
    <t>Oil production wells, units</t>
  </si>
  <si>
    <t>Comprehensive and preliminary gas treatment plants, units</t>
  </si>
  <si>
    <t>Comprehensive gas treatment plants aggregate installed capacity, bcm per year</t>
  </si>
  <si>
    <t>Booster compressor stations, units</t>
  </si>
  <si>
    <t>Booster compressor stations installed capacity, MW</t>
  </si>
  <si>
    <t>Gas transportation</t>
  </si>
  <si>
    <t>Gas transportation system reconstruction and development in Russia</t>
  </si>
  <si>
    <t>Gas trunk pipelines and pipeline branches putting into operation, km</t>
  </si>
  <si>
    <t>Repair, km</t>
  </si>
  <si>
    <t>Major technical characteristics of gas transportation system of Unified Gas Supply System (UGSS) in Russia</t>
  </si>
  <si>
    <t>Length of gas trunk pipelines and pipeline branches (in single-lane measuring), thousand km</t>
  </si>
  <si>
    <t>Linear compressor stations, units</t>
  </si>
  <si>
    <t>Gas pumping units (GPUs), units</t>
  </si>
  <si>
    <t>GPUs installed capacity, thousand MW</t>
  </si>
  <si>
    <t xml:space="preserve">Structure of UGSS gas transportation system in terms of service life in Russia </t>
  </si>
  <si>
    <t>Length, km</t>
  </si>
  <si>
    <t>Length, %</t>
  </si>
  <si>
    <t xml:space="preserve">Gas received into and distributed from UGSS of Russia </t>
  </si>
  <si>
    <t>Up to 10 years</t>
  </si>
  <si>
    <t>From 11 to 20 years</t>
  </si>
  <si>
    <t>From 21 to 30 years</t>
  </si>
  <si>
    <t>From 31 to 40 years</t>
  </si>
  <si>
    <t>From 41 to 50 years</t>
  </si>
  <si>
    <t>Over 50 years</t>
  </si>
  <si>
    <t>Total amount received into the gas transportation system</t>
  </si>
  <si>
    <t>Amount received into the system, including</t>
  </si>
  <si>
    <t>Central Asian gas</t>
  </si>
  <si>
    <t>Azerbaijanian gas</t>
  </si>
  <si>
    <t>Gas withdrawn from UGSFs in Russia</t>
  </si>
  <si>
    <t>Decrease in the amount of gas within the gas transportation system</t>
  </si>
  <si>
    <t>Total distribution from the gas transportation system</t>
  </si>
  <si>
    <t xml:space="preserve"> Central Asian gas</t>
  </si>
  <si>
    <t>Supply inside Russia, including</t>
  </si>
  <si>
    <t>Supply outside Russia, including</t>
  </si>
  <si>
    <t>Technical needs of the gas transportation system and UGSFs</t>
  </si>
  <si>
    <t>Increase in the amount of gas within the gas transportation system</t>
  </si>
  <si>
    <t>Gas injection into UGSFs in Russia</t>
  </si>
  <si>
    <t>Gas transportation projects</t>
  </si>
  <si>
    <t>Eurasian gas transportation system</t>
  </si>
  <si>
    <t xml:space="preserve">Underground gas storage </t>
  </si>
  <si>
    <t>Gazprom’s operational and prospective UGSFs in Russia</t>
  </si>
  <si>
    <t>Characteristics of Gazprom’s UGSFs located in Russia</t>
  </si>
  <si>
    <t>Number of UGSFs, units</t>
  </si>
  <si>
    <t>Total active capacity, bcm</t>
  </si>
  <si>
    <t>Number of development wells at UGSFs, units</t>
  </si>
  <si>
    <t>Gas storage in Russia</t>
  </si>
  <si>
    <t>Total for the season</t>
  </si>
  <si>
    <t xml:space="preserve">Q3 </t>
  </si>
  <si>
    <t>Q1 of the next year</t>
  </si>
  <si>
    <t>Q2 of the next year</t>
  </si>
  <si>
    <t>Gas retrieval season</t>
  </si>
  <si>
    <t>Maximum daily output during gas retrieval season, mmcm per day</t>
  </si>
  <si>
    <t>Average daily output during gas retrieval season in December – February, mmcm per day</t>
  </si>
  <si>
    <t>Operational and prospective UGSFs abroad</t>
  </si>
  <si>
    <t>FSU countries</t>
  </si>
  <si>
    <t xml:space="preserve">Latvia </t>
  </si>
  <si>
    <t>Armenia</t>
  </si>
  <si>
    <t>Far abroad countries</t>
  </si>
  <si>
    <t>Germany</t>
  </si>
  <si>
    <t>Austria</t>
  </si>
  <si>
    <t>Great Britain</t>
  </si>
  <si>
    <t>France</t>
  </si>
  <si>
    <t>the Netherlands</t>
  </si>
  <si>
    <t>Injection season, Q1-Q4</t>
  </si>
  <si>
    <t>Withdrawal season, Q3-Q4 and Q1-Q2 (of the next year)</t>
  </si>
  <si>
    <t>Gas withdrawal* from UGSFs abroad, mmcm</t>
  </si>
  <si>
    <t>Processing of hydrocarbons and production of refined products</t>
  </si>
  <si>
    <t>Gazprom Group’s hydrocarbon processing (excluding give-and-take raw materials)</t>
  </si>
  <si>
    <t>Natural and associated petroleum gas, bcm</t>
  </si>
  <si>
    <t>Crude oil and unstable gas condensate, million tons</t>
  </si>
  <si>
    <t>Sibur Holding **</t>
  </si>
  <si>
    <t xml:space="preserve">Gazprom Neft including: </t>
  </si>
  <si>
    <t>in Russia</t>
  </si>
  <si>
    <t>abroad***</t>
  </si>
  <si>
    <t>** Sibur Holding results  are included prior to its deconsolidation since 3Q 2008.</t>
  </si>
  <si>
    <t>*** Including NIS results effective from its consolidation, February 1, 2009</t>
  </si>
  <si>
    <t>Stable condensate and oil, thousand tons</t>
  </si>
  <si>
    <t>Stripped dry gas, bcm</t>
  </si>
  <si>
    <t>Liquefied hydrocarbon gases, thousand tons</t>
  </si>
  <si>
    <t>Motor gasoline, thousand tons</t>
  </si>
  <si>
    <t>Technical gasoline, thousand tons</t>
  </si>
  <si>
    <t>Diesel fuel, thousand tons</t>
  </si>
  <si>
    <t>Jet fuel, thousand tons</t>
  </si>
  <si>
    <t>Furnace fuel oil, thousand tons</t>
  </si>
  <si>
    <t>Lubricants, thousand tons</t>
  </si>
  <si>
    <t>Sulfur, thousand tons</t>
  </si>
  <si>
    <t>Helium, thousand cubic meters</t>
  </si>
  <si>
    <t>Odorant, thousand tons</t>
  </si>
  <si>
    <t>Wide fraction of light hydrocarbons, thousand tons</t>
  </si>
  <si>
    <t>Ethane, thousand tons</t>
  </si>
  <si>
    <t>Technical carbon, thousand tons</t>
  </si>
  <si>
    <t>Methanol, thousand tons</t>
  </si>
  <si>
    <t>Pentane-hexane fraction, thousand tons</t>
  </si>
  <si>
    <t>Refined products of Gazprom Group's major subsidiaries</t>
  </si>
  <si>
    <t>Refined and petrochemical products manufactured by Gazprom Group subsidiaries (excluding give-and-take raw materials)</t>
  </si>
  <si>
    <t>Gazprom Neft</t>
  </si>
  <si>
    <t>including foreign production**</t>
  </si>
  <si>
    <t>Sibur Holding***</t>
  </si>
  <si>
    <t>Stable natural gasoline, thousand tons</t>
  </si>
  <si>
    <t>Monomers, liquid and monomer-containing hydrocarbon fractions, thousand tons</t>
  </si>
  <si>
    <t>Polymers and products, thousand tons</t>
  </si>
  <si>
    <t>Synthetic rubbers, thousand tons</t>
  </si>
  <si>
    <t>Products of organic synthesis, thousand tons</t>
  </si>
  <si>
    <t>Methyl tert-butyl ether, thousand tons</t>
  </si>
  <si>
    <t>Mineral fertilizers and its raw materials, thousand tons</t>
  </si>
  <si>
    <t>Tyres, million units</t>
  </si>
  <si>
    <t>** Including NIS results effective from its consolidation, February 1, 2009.</t>
  </si>
  <si>
    <t>Location of gas processing, oil refining and petrochemical plants</t>
  </si>
  <si>
    <t>Electric power and heat generation</t>
  </si>
  <si>
    <t>Electric power and heat generating capacity of Gazprom Group</t>
  </si>
  <si>
    <t>Electric power generating capacity, MW</t>
  </si>
  <si>
    <t>OAO Mosenergo *</t>
  </si>
  <si>
    <t>OAO OGK-2 *</t>
  </si>
  <si>
    <t>OAO OGK-6 *</t>
  </si>
  <si>
    <t>ОАО TGK-1*</t>
  </si>
  <si>
    <t>ZAO Kaunasskaya teplofikatsionnaya elektrostantsiya (Lithuania)</t>
  </si>
  <si>
    <t>Heat generating capacity, Gcalh</t>
  </si>
  <si>
    <t>* Results are shown effective from taking control.</t>
  </si>
  <si>
    <t>Electric power and heat generated by Gazprom Group</t>
  </si>
  <si>
    <t>Electric power generated, billion kWh</t>
  </si>
  <si>
    <t>OAO OGK-2 **</t>
  </si>
  <si>
    <t>OAO OGK-6 **</t>
  </si>
  <si>
    <t>ОАО TGK-1***</t>
  </si>
  <si>
    <t>Heat generated, million Gcal</t>
  </si>
  <si>
    <t>Sales of gas</t>
  </si>
  <si>
    <t>Russia</t>
  </si>
  <si>
    <t>Far abroad</t>
  </si>
  <si>
    <t>** Data is not a part of financial statements. Calculated based on exchange rate as of the end of respective period.</t>
  </si>
  <si>
    <t>million RR</t>
  </si>
  <si>
    <t>million US $ **</t>
  </si>
  <si>
    <t>million euro **</t>
  </si>
  <si>
    <t>RR per  mcm</t>
  </si>
  <si>
    <t>US $* per mcm</t>
  </si>
  <si>
    <t>Euro* per mcm</t>
  </si>
  <si>
    <t>* Data is not a part of financial statements. Calculated based on exchange rate as of the end of respective period.</t>
  </si>
  <si>
    <t>Gazprom Group’s gas sales volumes</t>
  </si>
  <si>
    <t>Sales volumes in Russia</t>
  </si>
  <si>
    <t xml:space="preserve">Austria </t>
  </si>
  <si>
    <t>Belgium</t>
  </si>
  <si>
    <t xml:space="preserve">Finland </t>
  </si>
  <si>
    <t xml:space="preserve">France </t>
  </si>
  <si>
    <t>Greece</t>
  </si>
  <si>
    <t xml:space="preserve">Italy </t>
  </si>
  <si>
    <t xml:space="preserve">Switzerland </t>
  </si>
  <si>
    <t xml:space="preserve">The Netherlands </t>
  </si>
  <si>
    <t xml:space="preserve">Turkey </t>
  </si>
  <si>
    <t xml:space="preserve">United Kingdom </t>
  </si>
  <si>
    <t>Bosnia and Herzegovina</t>
  </si>
  <si>
    <t>Bulgaria</t>
  </si>
  <si>
    <t xml:space="preserve">Croatia </t>
  </si>
  <si>
    <t xml:space="preserve">Czech Republic </t>
  </si>
  <si>
    <t xml:space="preserve">Hungary </t>
  </si>
  <si>
    <t xml:space="preserve">Macedonia </t>
  </si>
  <si>
    <t xml:space="preserve">Poland </t>
  </si>
  <si>
    <t xml:space="preserve">Romania </t>
  </si>
  <si>
    <t>Serbia</t>
  </si>
  <si>
    <t>Slovakia</t>
  </si>
  <si>
    <t>Slovenia</t>
  </si>
  <si>
    <t xml:space="preserve">Other countries </t>
  </si>
  <si>
    <t xml:space="preserve">Armenia </t>
  </si>
  <si>
    <t xml:space="preserve">Azerbaijan </t>
  </si>
  <si>
    <t xml:space="preserve">Belarus </t>
  </si>
  <si>
    <t xml:space="preserve">Estonia </t>
  </si>
  <si>
    <t xml:space="preserve">Georgia </t>
  </si>
  <si>
    <t xml:space="preserve">Kazakhstan </t>
  </si>
  <si>
    <t>Lithuania</t>
  </si>
  <si>
    <t xml:space="preserve">Moldova </t>
  </si>
  <si>
    <t xml:space="preserve">Ukraine </t>
  </si>
  <si>
    <t>Sales volumes in Far abroad countries</t>
  </si>
  <si>
    <t>Sales volumes in FSU countries</t>
  </si>
  <si>
    <t>Gazprom Group’s LNG sales</t>
  </si>
  <si>
    <t>Gas market in Russia</t>
  </si>
  <si>
    <t>Gazprom’s gas supply for providing the internal gas consumption in Russia</t>
  </si>
  <si>
    <t>Internal gas consumption in Russia, bcm</t>
  </si>
  <si>
    <r>
      <t xml:space="preserve">including </t>
    </r>
    <r>
      <rPr>
        <i/>
        <sz val="8"/>
        <rFont val="Times New Roman"/>
        <family val="1"/>
        <charset val="204"/>
      </rPr>
      <t>Gazprom Group</t>
    </r>
    <r>
      <rPr>
        <sz val="8"/>
        <rFont val="Times New Roman"/>
        <family val="1"/>
        <charset val="204"/>
      </rPr>
      <t xml:space="preserve"> production volumes **</t>
    </r>
  </si>
  <si>
    <t>* Gas transportation systems of the following regions are not linked to UGSS: Far East of Russia, the Republic of Sakha (Yakutia), Norilsk.</t>
  </si>
  <si>
    <t>Share</t>
  </si>
  <si>
    <t>Power generation *</t>
  </si>
  <si>
    <t>Metallurgy</t>
  </si>
  <si>
    <t>Agrochemistry</t>
  </si>
  <si>
    <t>Household consumers</t>
  </si>
  <si>
    <t>Utility sector</t>
  </si>
  <si>
    <t xml:space="preserve">Others </t>
  </si>
  <si>
    <t>Weighted average regulated wholesale natural gas prices in Russia</t>
  </si>
  <si>
    <t>RR per mcm</t>
  </si>
  <si>
    <t>For all categories of Russian consumers</t>
  </si>
  <si>
    <t>For industrial consumers</t>
  </si>
  <si>
    <t>For household consumers</t>
  </si>
  <si>
    <t>Gas distribution and gasification in Russia</t>
  </si>
  <si>
    <r>
      <t xml:space="preserve">Natural gas transportation through gas distribution systems, operated by </t>
    </r>
    <r>
      <rPr>
        <i/>
        <sz val="8"/>
        <rFont val="Times New Roman"/>
        <family val="1"/>
        <charset val="204"/>
      </rPr>
      <t>Gazprom Grou</t>
    </r>
    <r>
      <rPr>
        <sz val="8"/>
        <rFont val="Times New Roman"/>
        <family val="1"/>
        <charset val="204"/>
      </rPr>
      <t>p’s subsidiaries and associated GDCs, bcm</t>
    </r>
  </si>
  <si>
    <r>
      <t xml:space="preserve">Gazprom Group’s </t>
    </r>
    <r>
      <rPr>
        <sz val="8"/>
        <rFont val="Times New Roman"/>
        <family val="1"/>
        <charset val="204"/>
      </rPr>
      <t>subsidiary and associated GDCs’ consumers:</t>
    </r>
  </si>
  <si>
    <t>apartments and private households, million units</t>
  </si>
  <si>
    <t>industrial enterprises, thousand units</t>
  </si>
  <si>
    <t>boiler-houses, thousand units</t>
  </si>
  <si>
    <t>utilities, thousand units</t>
  </si>
  <si>
    <r>
      <t xml:space="preserve">Gazprom’s </t>
    </r>
    <r>
      <rPr>
        <sz val="8"/>
        <rFont val="Times New Roman"/>
        <family val="1"/>
        <charset val="204"/>
      </rPr>
      <t xml:space="preserve">financing of its gasification programs, billion RR </t>
    </r>
  </si>
  <si>
    <r>
      <t xml:space="preserve">Level of gasification* (natural and liquefied gas) in operation areas of </t>
    </r>
    <r>
      <rPr>
        <i/>
        <sz val="8"/>
        <rFont val="Times New Roman"/>
        <family val="1"/>
        <charset val="204"/>
      </rPr>
      <t>Gazprom Group’s</t>
    </r>
    <r>
      <rPr>
        <sz val="8"/>
        <rFont val="Times New Roman"/>
        <family val="1"/>
        <charset val="204"/>
      </rPr>
      <t xml:space="preserve"> companies, total</t>
    </r>
  </si>
  <si>
    <t>including that in towns and urban-type settlements</t>
  </si>
  <si>
    <t>including that in countryside</t>
  </si>
  <si>
    <t>* Calculated as the number of gasificated flats divided by the total number of flats in the region, expressed as a percentage.</t>
  </si>
  <si>
    <t>Sales of crude oil, gas condensate and refined products</t>
  </si>
  <si>
    <t>Gazprom Group’s sales of crude oil and gas condensate</t>
  </si>
  <si>
    <t>Crude oil and gas condensate sales volumes, million tons</t>
  </si>
  <si>
    <t>Sales of crude oil and gas condensate (net of VAT, excise tax and customs duties), million RR</t>
  </si>
  <si>
    <t>Fact book "Gazprom in Figures 2006-2010" is an informational and statistical edition, prepared for OAO Gazprom annual General shareholders meeting 2011. The Fact book is prepared on the basis of corporate reports of OAO Gazprom, as well as on the basis of Russian and foreign sources of publicly disclosed information.</t>
  </si>
  <si>
    <t>Number of common shares issued 
(as of the end of the year)</t>
  </si>
  <si>
    <t>Number of common shares outstanding 
(as of the end of the year)</t>
  </si>
  <si>
    <t>BNYM – depositary on the ADR program of 
OAO Gazrom</t>
  </si>
  <si>
    <t>billion US $</t>
  </si>
  <si>
    <t>Gazprom Group’s license areas set out by regions of the Russian Federation, 
as of December 31, 2010</t>
  </si>
  <si>
    <t xml:space="preserve">To implement the project OOO Natsyonalnyi Neftianoi Konsortsyum was established in Latin America.
The members of the consortium are russian oil and gas companies: 
OAO Gazprom Neft, OAO Lukoil, 
OAO NK Rosneft, OAO Surgutneftegaz and OAO TNK-BP, each of which equally participates in the project – 20 %.
</t>
  </si>
  <si>
    <t>The Russian-side participant is 
OOO TsentrKaspNeftegaz which is created on a parity basis by OAO Lukoil and 
OAO Gazprom. The Kazakhstan-side participant is AO National company KazMunaiGaz.</t>
  </si>
  <si>
    <t>The production sharing agreement was sighned between NHK Uzbekneftegaz and consortium which includes Gas Project Development Central Asia AG (The Group’s shareholding – 50 %) and 
ZAO Gazprom zarubezhneftegaz. Project operator is OOO Zarubezhneftegaz – GPD Central Asia, created by Gas Project Development Central Asia AG and ZAO Gazprom zarubezhneftegaz on a parity basis.</t>
  </si>
  <si>
    <t xml:space="preserve">Located in the Krasnoselkupskiy district of the Yamalo-Nenets Autonomous Area, the Tumen Region. OAO Severneftegazprom holds a license for its development. As of December 31, 2010 
OAO Gazprom held 50% plus 6 nominal shares of the company, Wintershall Holding GmbH held 25% minus 3 nominal shares plus 3 preference shares with no voting right, E.ON Ruhrgas E&amp;P GmbH held 25% minus 3 nominal shares plus 3 preference shares with no voting right. </t>
  </si>
  <si>
    <t>31.5 bcm of total gas production at the blocks 1–5</t>
  </si>
  <si>
    <t>13 CS / 968 MW</t>
  </si>
  <si>
    <t xml:space="preserve">For the engineering, building, operating and managing purposes Nord Stream AG company was established. As of December 31, 2010 shares in the company had been distributed in the following way: OAO Gazprom – 51%, Wintershall Oil AG (BASF Group) – 15.5%, PEG Infrastruktur AG (E.ON Group) – 15.5%, Gasunie Infrastruktur AG (Gasunie Group) – 9%, and GDF SUEZ Holding Switzerland AG (GDF SUEZ Group) – 9%. 
Construction of the Nord Stream gas pipeline began in April 2010.
On May 5, 2011 laying works for the first line of the pipeline were completed. Commissioning of the first line is scheduled for 2011; the second line – for 2012.
</t>
  </si>
  <si>
    <t xml:space="preserve">Pre-investment studies have been completed; the required approvals have been obtained. A decision to begin the development of design documentation has been made; the technical specification for the design has been approved.
The gas pipeline route has been determined; collection of initial data and area surveying works are being carried out.
</t>
  </si>
  <si>
    <t xml:space="preserve">Inter-Governmental agreements with Bulgaria, Serbia, Hungary, Greece, Slovenia, Croatia and Austria have been signed; joint project companies have been founded together with partner companies from Hungary, Greece, Bulgaria and Austria (in 2011). Feasibility studies for construction of all sections of the gas pipeline have been completed: in Serbia and Slovenia – in 2010, in Austria, Bulgaria, Hungary, Romania, Croatia and Greece – in 2011.
In June 2010, OAO Gazprom, ENI and EDF signed a trilateral Memorandum that defined specific steps for the EDF entry into the project on construction of the off-shore pipeline section.
</t>
  </si>
  <si>
    <t>In March 2011 OAO Gazprom and Wintershall Holding GmbH signed a Memorandum of Understanding, which provides for participation of Wintershall Holding GmbH in implementation of the offshore section of the project. Based on the completed national feasibility studies, OAO Gazprom will finalize the preparation of the Consolidated Feasibility Study by the end of 2011, which will result in determination of the system configuration and key performance indicators of the project.</t>
  </si>
  <si>
    <t>The facilities of the first stage (consisting
of the linear part of the Bovanenkovo – Ukhta pipeline) are planned to be commissioned in 2012, including a two-line underwater crossing through the Baydaratskaya Bay and
Baydaratskaya CS with capacity of 96 MW.
As of December 31, 2010, about 720 km of
the linear part of the Bovanenkovo – Ukhta pipeline had been welded up, including the underwater crossing through the Baydaratskaya Bay. Commissioning of the Ukhta – Torzhok section is planned at the end of 2012.</t>
  </si>
  <si>
    <t>As of December 31, 2010, about 1,140 km
of the pipeline had been welded up.
The construction is planned to be completed in the Q3 2011.</t>
  </si>
  <si>
    <t>As of December 31, 2010 the offshore section of the gas pipeline had been constructed, the 13.35 km first start-up complex had been commissioned.</t>
  </si>
  <si>
    <t>Natural gas transportation from the fields located in the northern areas of the Tyumen Region to the city of Torzhok that will make it possible to increase gas supply to consumers in the Northwestern region of Russia and gas exports through the Yamal –  Europe pipeline.</t>
  </si>
  <si>
    <t xml:space="preserve">Linear section was commissioned in 2006.
10 compressor stations with total capacity of 743 MW had been constructed as of December 31, 2010.
Three compressor stations will be commissioned together with commissioning of the Bovanenkovo – Uhta gas pipeline in 2012. </t>
  </si>
  <si>
    <t>Sales of refined products (net of VAT, excise tax, and customs duties), 
million RR</t>
  </si>
  <si>
    <t>Sales of refined products (net of VAT, excise tax, and customs duties), 
million US $*</t>
  </si>
  <si>
    <t>Sales of refined products (net of VAT, excise tax, and customs duties), 
million euro*</t>
  </si>
  <si>
    <t xml:space="preserve"> million boe</t>
  </si>
  <si>
    <t>The project execution scheme is being discussed and the project documentation is being prepared to file application for license for geological exploration.</t>
  </si>
  <si>
    <t>Heavy oil development projects at the Orinoco basin blocks.</t>
  </si>
  <si>
    <t xml:space="preserve">To develop the Junin-6 block the consortium jointly with the subsidiary of Venezuelian oil an gas state company PdVSA established PetroMiranda joint venture. To participate in this joint venture the consortium paid the first part of bonus in the amount of US $ 600 million to the Republic of Venezuela.
Sertification of Ayacucho-3 block is completed. Participation of the consortium in block development is under consideration.
</t>
  </si>
  <si>
    <t xml:space="preserve">Urumaco-I and Urumaco-II investment blocks (Gulf of Venezuela), blocks Junin-6 and Ayacucho-3 (Orinoco basin, Venezuela) </t>
  </si>
  <si>
    <t>Vietnam</t>
  </si>
  <si>
    <t xml:space="preserve">Search, exploration, production, and sales of hydrocarbons on the shelf of Vietnam. </t>
  </si>
  <si>
    <t xml:space="preserve">2000: Block № 112 </t>
  </si>
  <si>
    <t xml:space="preserve">2008:
Blocks № 
129–132 
</t>
  </si>
  <si>
    <t xml:space="preserve">In 2007 the Bao Vang field was discovered within the block № 112. 
In 2008, 2,000 linear km of 2D seismic works and  900 sq. kilometers of 3D seismic works were carried out at the block № 112. </t>
  </si>
  <si>
    <t>Exploration drilling and seismic survey areas in Vietnam (block № 112 including extension), the location of blocks № 129–132</t>
  </si>
  <si>
    <t>India</t>
  </si>
  <si>
    <t>Search, exploration and production of hydrocarbons at block № 26 (the continental shelf of India, the Bay of Bengal).</t>
  </si>
  <si>
    <t>Exploration drilling and seismic survey area in India (block № 26)</t>
  </si>
  <si>
    <t>Iraq</t>
  </si>
  <si>
    <t>Development of the Badra field</t>
  </si>
  <si>
    <t xml:space="preserve">The total amount of consortium investments through the 20-years (can be possibly prolonged by additional 5 years) period of implementation   is estimated at US $ 2 billion. It is expected to reach  production of 8.5 millon tons annually through the period of  7 years. </t>
  </si>
  <si>
    <t xml:space="preserve">The company-operator of the project Gazprom Neft Badra B.V., was established and joint steering committee was created.
In 2010, the preliminary agreements on the timing and the stages of the field development were reached between the consortium participants.
</t>
  </si>
  <si>
    <t>Badra field in Iraq</t>
  </si>
  <si>
    <t>Kazakhstan</t>
  </si>
  <si>
    <t>Search and exploration of hydrocarbon resources in the geological structure Tsentralnaya in Caspian Sea.</t>
  </si>
  <si>
    <t xml:space="preserve">In 2008 the Tsentralnoye field was discovered. Early in 2009 3D seismic survey was completed. </t>
  </si>
  <si>
    <t>Hydrocarbon exploration and survey area in Caspian Sea (the Tsentralnoye field)</t>
  </si>
  <si>
    <t>Kyrgyzstan</t>
  </si>
  <si>
    <t>Geologic exploration at Vostochny Maylisu–IV and Kugart oil-and-gas promising areas.</t>
  </si>
  <si>
    <t>Agreement on general principles for geologic exploration at oil-and-gas promising areas.</t>
  </si>
  <si>
    <t xml:space="preserve">OAO Gazprom received the licenses on subsoil use of Vostochny Maylisu–IV and Kugart oil-and-gas promising areas for geological exploration.
Russian-Kyrgyz Steering Committee was established to supervise the performance of the agreement.
</t>
  </si>
  <si>
    <t>The stage-by-stage program for geologic exploration at the areas of Kugart and Vostochny Maylisu–IV for the period from 2008 through 2011 was approved.</t>
  </si>
  <si>
    <t>OAO Gazprom’s geologic exploration areas in Kyrgyzstan</t>
  </si>
  <si>
    <t>Tajikistan</t>
  </si>
  <si>
    <t xml:space="preserve">Geologic exploration work at Sarikamysh, Sargazon, Rengan, and Zapadny Shohambary oil-and-gas promising areas. </t>
  </si>
  <si>
    <t xml:space="preserve">Agreement on general principles for geologic exploration.
The licenses leceived on subsoil use of Sarikamysh, Zapadny Shohambary, Rengan, and Sargazon for geological exploration.
</t>
  </si>
  <si>
    <t xml:space="preserve">Russian-Tajik Steering Committee was established to supervise the performance of the agreement.
</t>
  </si>
  <si>
    <t>In 2006-2010 193.8 linear km of 2D seismic works, 339.3 sq. kilometers of 3D seismic works, 806 sq. kilometers of gravity surveys were carried out in the oil-and-gas promising areas of the Republic of Tajikistan.</t>
  </si>
  <si>
    <t>In 2010 drilling of the well with projected depth of 6,300 meters began in the Sarikamysh territory, 700 meters of geological material were drilled.</t>
  </si>
  <si>
    <t>OAO Gazprom’s geologic exploration areas in Tajikistan</t>
  </si>
  <si>
    <t xml:space="preserve">Uzbekistan  </t>
  </si>
  <si>
    <t>Search, exploration, and production of hydrocarbons in the Ustyurt region of the Republic of Uzbekistan (Shakhpakhtinsky, Agyinsky and Aktumsuksky investment blocks).</t>
  </si>
  <si>
    <t xml:space="preserve">Project participants: NHK Uzbekneftegaz and OAO Gazprom. 
The licenses received on subsoil use of 7 investment blocks for geological exploration.
</t>
  </si>
  <si>
    <t>Project operator – ZAO Gazprom Zarubezhneftegaz.</t>
  </si>
  <si>
    <t>Within the frameworks of license obligations 17 wells had been constructed (69,363 kilometers drilled), 2D (7,700 linear kilometers) and 3D (600 sq. kilometers) seismic surveys and other geophysical activity were carried out.</t>
  </si>
  <si>
    <t xml:space="preserve">The Dzhel field at the Shakhpakhtinsky license block was discovered. Exploration of the field is under way. In 2010, the increase in gas and condensate reserves in the Dzhel territory in Uzbekistan was recorded – by 0.8 bcm and 0.06 million tons respectively.
</t>
  </si>
  <si>
    <t>Rehabilitation of the Shakhpakhty field infrastructure in Ustyurt region in the Republic of Tajikistan and additional development of remaining gas reserves.</t>
  </si>
  <si>
    <t>Expenses are reimbursed by natural gas supply. After the reimbursement of expenses remaining gas is allocated between the participants of the sharing agreement according to the share in the project.</t>
  </si>
  <si>
    <t xml:space="preserve">In 2010, about 0.2 bcm of gas produced from the Shakhpakhty field.
Currently the project passed the pay-off period and the generated profit is allocated between the participants of the Sharing Agreement.
</t>
  </si>
  <si>
    <t>Hydrocarbon exploration, survey and production areas in Uzbekistan (Ustyurt region)</t>
  </si>
  <si>
    <t>Lybia</t>
  </si>
  <si>
    <t>Geological exploration and development of hydrocarbons at licensed areas № 19 (the shelf of  Mediterranean Sea) and № 64 (on-shore, the northern part of Gadames oil and gas basin).</t>
  </si>
  <si>
    <t>Search and exploration of hydrocarbons within oil concessions C96 and C97.</t>
  </si>
  <si>
    <t xml:space="preserve">Hydrocarbon exploration and survey areas and concession sites in Libya where Gazprom participates 
(licence blocks № 19 and № 64, concessions C96 and C97)
</t>
  </si>
  <si>
    <t>Equatorial Guinea</t>
  </si>
  <si>
    <t>Geological exploration and development of the blocks U and T in the shelf of Equatorial Guinea.</t>
  </si>
  <si>
    <t>Blocks U and T on the shelf of Equatorial Guinea</t>
  </si>
  <si>
    <t>Promising fields in Russia</t>
  </si>
  <si>
    <t xml:space="preserve">Name </t>
  </si>
  <si>
    <t xml:space="preserve">Commissioning </t>
  </si>
  <si>
    <t>Attainment of projected capacity</t>
  </si>
  <si>
    <t>Projected capacity</t>
  </si>
  <si>
    <t>Nadym-Pur-Tazovsky Region (Western Siberia)</t>
  </si>
  <si>
    <t>Zapolyarnoye field (the Cenomanian deposits)</t>
  </si>
  <si>
    <t>Zapolyarnoye field (the Lower Cretaceous deposits)</t>
  </si>
  <si>
    <t>Located close to Gazprom's major fields that are under development. The Cenomanian deposits were commissioned in 2001. In 2007 their annual projected capacity was reassessed from 100 bcm to 115 bcm.</t>
  </si>
  <si>
    <t>115 bcm of gas</t>
  </si>
  <si>
    <t>15 bcm of gas</t>
  </si>
  <si>
    <t>Kharvutinskaya Area of the Yamburgskoye field</t>
  </si>
  <si>
    <t>Located in the southern part of the Yamburgskoye field. It was commissioned in 1996. A CGPU with annual production capacity of 18.2 bcm was commissioned in 2006.</t>
  </si>
  <si>
    <t>30 bcm of gas</t>
  </si>
  <si>
    <t>Zapadno-Pestsovoe field (Bolshoy Urengoy)</t>
  </si>
  <si>
    <t>Located westward of the Pestsovaya Area of the Urengoyskoye field.</t>
  </si>
  <si>
    <t>2.0 bcm of gas</t>
  </si>
  <si>
    <t>Nydinskiy area of the Medvezhye field</t>
  </si>
  <si>
    <t>Located at the Medvezhye field in the Purovsky area of the Yamalo-Nenets Autonomous Area, the Tyumen Region.</t>
  </si>
  <si>
    <t>2.7 bcm of gas</t>
  </si>
  <si>
    <t>The deposits are divided into several blocks for their stage-by-stage development.</t>
  </si>
  <si>
    <t>The block 2 was put into operation in 2009. The block is being developed by ООО Gazprom Dobycha Urengoy.</t>
  </si>
  <si>
    <t>7.7 bcm of gas and 3.0 million tons of unstable gas condensate annually</t>
  </si>
  <si>
    <t xml:space="preserve"> 5.6 bcm of gas and 1.7 million tons of unstable gas condensate annually</t>
  </si>
  <si>
    <t>Yen-Yakhinskoye field</t>
  </si>
  <si>
    <t>Effective from 2016, the field is planned to be developed using the gas injection repressuring technology (cycling) that provides the maximum level of gas condensate extraction.</t>
  </si>
  <si>
    <t>1.8 million tons of gas condensate and 5 bcm of gas</t>
  </si>
  <si>
    <t>Yuzhno-Russkoye field</t>
  </si>
  <si>
    <t>25.0 bcm</t>
  </si>
  <si>
    <t>Yamal Peninsula and adjacent waters</t>
  </si>
  <si>
    <t>Bovanenkovskoye field (Cenomanian and Aptian deposits)</t>
  </si>
  <si>
    <t xml:space="preserve">According to the Program of complex development of hydrocarbon fields in the Yamalo-Nenets Autonomous District and the north of Krasnoyarsk Territory approved by the Order of the Russian Ministry of Energy № 441 dated September 10, 2010, the Bovanenkovskoye oil and gas condensate field is defined as the object of priority development in the Yamal peninsula, as it is the largest field in terms of reserves, conveniently located in the central part of the peninsula and the most explored one.  </t>
  </si>
  <si>
    <t>115 bcm</t>
  </si>
  <si>
    <t>Novoportovskoye field</t>
  </si>
  <si>
    <t>Located in the south-eastern part of the Yamal peninsula that is characterized by absence of infrastructure.</t>
  </si>
  <si>
    <t>7.9 million tons of oil</t>
  </si>
  <si>
    <t>Gydan Peninsula</t>
  </si>
  <si>
    <t>Messoyakha group of fields</t>
  </si>
  <si>
    <t>Vostochno-Messoyakhsky and Zapadno-Messoyakhsky license areas (Messoyakha group of fields) are located in the northern part of the West Siberian oil-and-gas bearing province in the south-west of the Gydan Peninsula. They are related to the category of largest fields in terms of discovered reserves. ZAO Messoyakhaneftegaz is responsible for execution of the project on development of the Messoyakha group of fields. The company is owned by OAO Gazprom Neft and OAO TNK-BP on a parity basis (50% share each).</t>
  </si>
  <si>
    <t>33 million tons of oil equivalent</t>
  </si>
  <si>
    <t>The Arctic Shelf</t>
  </si>
  <si>
    <t>Shtokmanovskoye field</t>
  </si>
  <si>
    <t>Located in the central part of the Barents Sea to the north-west from the Yamal Peninsula and 650 km to the north-east from the city of Murmansk. Natural gas is planned to be supplied both through the UGSS and as LNG to remote markets. Stockman Development AG, a special purpose company, was established in 2008 for design, development, construction, financing and exploitation of the first-phase objects of the Schtockmanovskoe field. Its main shareholders are OAO Gazprom (51%), Total Shtokman B.V. (25%) and Statoil Holding Netherlands B.V. (24%).</t>
  </si>
  <si>
    <t>The projected annual gas production at the field amounts to 71 bcm and can be potentially increased to 95 bcm.</t>
  </si>
  <si>
    <t xml:space="preserve">23.7 bcm of gas at the first stage of development   </t>
  </si>
  <si>
    <t>First stage – 2018</t>
  </si>
  <si>
    <t>Prirazlomnoye field</t>
  </si>
  <si>
    <t>Located on the shelf of the Pechora Sea.</t>
  </si>
  <si>
    <t>6.6 million tons of oil</t>
  </si>
  <si>
    <t>Obskaya and Tazovskaya Bays</t>
  </si>
  <si>
    <t>Severo-Kamennomysskoye field</t>
  </si>
  <si>
    <t xml:space="preserve">Located in the middle part of the Obskaya Bay in the Yamalo-Nenets Autonomous District, the Tyumen region. It is identified as a priority object for development in water areas of the Obskaya and Tazovskaya Bays. </t>
  </si>
  <si>
    <t>15.3 bcm</t>
  </si>
  <si>
    <t>Volga Region</t>
  </si>
  <si>
    <t>Astrakhanskoye field</t>
  </si>
  <si>
    <t>–</t>
  </si>
  <si>
    <t>Located in the Volga estuary. It is capable of yielding a production volume of 50-60 bcm of natural gas per year. Currently, its production is constrained at 12 bcm per year mostly due to environmental limitations as well as the need to use expensive technologies. The possibility is being considered of field development using the technology of pumping acid gas into the reservoir, which will allow decreasing hazardous emissions considerably and eliminating problems related to the storage and sale of associated sulfur.</t>
  </si>
  <si>
    <t>Volga-Urals region</t>
  </si>
  <si>
    <t>Located to the south-west of the city of Orenburg in the territory of the Orenburg oil and gas condensate field. ZAO Gazprom Neft Orenburg holds the license for its development. In 2010, as a part of consolida-tion of the Group’s oil reserves development activities on the basis of a single company, documents on consolidation of ZAO Gazprom neft Orenburg assets into OAO Gazprom Neft were prepared.</t>
  </si>
  <si>
    <t>1.6 million tons of oil and 1.5 bcm of gas</t>
  </si>
  <si>
    <t>Eastern Siberia and Russian Far East</t>
  </si>
  <si>
    <t>Chayandinskoye field</t>
  </si>
  <si>
    <t>Located in the Lensk Region of the Republic of Sakha (Yakutia). Currently a supplementary geologic exploration is being carried out and project documentation is being prepared that will result in defining production levels of gas and liquid hydrocarbons.</t>
  </si>
  <si>
    <t>N/A</t>
  </si>
  <si>
    <t>According to the license agreement introduction of the oil fringe into pilot production is scheduled for 2014; commissioning of gas layers is scheduled for 2016.</t>
  </si>
  <si>
    <t>Gazprom Group’s major gas transportation projects</t>
  </si>
  <si>
    <t>Name</t>
  </si>
  <si>
    <t>Purpose</t>
  </si>
  <si>
    <t>Project parameters</t>
  </si>
  <si>
    <t>Length</t>
  </si>
  <si>
    <t>Number of compressor stations (CS) / total capacity of CS</t>
  </si>
  <si>
    <t>Annual  capacity</t>
  </si>
  <si>
    <t xml:space="preserve">SRTO – Torzhok </t>
  </si>
  <si>
    <t>2,200 km</t>
  </si>
  <si>
    <t>20.5–28.5 bcm per year at different sections</t>
  </si>
  <si>
    <t xml:space="preserve">Gryazovets – Vyborg </t>
  </si>
  <si>
    <t>Gas supply to the North-West of Russia and to the Nord Stream gas pipeline.</t>
  </si>
  <si>
    <t>900 km</t>
  </si>
  <si>
    <t xml:space="preserve">7 CS / 1,155 MW </t>
  </si>
  <si>
    <t>55 bcm</t>
  </si>
  <si>
    <t>Construction of the linear section of the first branch of the gas pipeline had been completed as of December 31, 2010. The pipeline is planned to be commissioned in 2011 and to reach projected capacity in 2012.</t>
  </si>
  <si>
    <t>Nord Stream</t>
  </si>
  <si>
    <t>Transportation of Russian natural gas to the Western European countries under the Baltic Sea</t>
  </si>
  <si>
    <t>No provision</t>
  </si>
  <si>
    <t xml:space="preserve">Up to 55 bcm </t>
  </si>
  <si>
    <t>Gazpromneft Lubricants Italia S.p.A.</t>
  </si>
  <si>
    <t>NIS</t>
  </si>
  <si>
    <t>2005*</t>
  </si>
  <si>
    <t>11 900</t>
  </si>
  <si>
    <t>8 707</t>
  </si>
  <si>
    <t>9 162</t>
  </si>
  <si>
    <t>6 266</t>
  </si>
  <si>
    <t>36 205</t>
  </si>
  <si>
    <t>34 852</t>
  </si>
  <si>
    <t>1 649</t>
  </si>
  <si>
    <t>2 704</t>
  </si>
  <si>
    <t>14 426</t>
  </si>
  <si>
    <t>54 525</t>
  </si>
  <si>
    <t>-</t>
  </si>
  <si>
    <t>%</t>
  </si>
  <si>
    <t>x</t>
  </si>
  <si>
    <t xml:space="preserve"> </t>
  </si>
  <si>
    <r>
      <t>млрд м</t>
    </r>
    <r>
      <rPr>
        <b/>
        <vertAlign val="superscript"/>
        <sz val="8"/>
        <color indexed="9"/>
        <rFont val="Times New Roman"/>
        <family val="1"/>
        <charset val="204"/>
      </rPr>
      <t>3</t>
    </r>
  </si>
  <si>
    <t>НГК</t>
  </si>
  <si>
    <t>Г</t>
  </si>
  <si>
    <t>ГК</t>
  </si>
  <si>
    <t>BNYM</t>
  </si>
  <si>
    <t>51 %</t>
  </si>
  <si>
    <r>
      <t>Gazprom Group’s hydrocarbons reserves (categories A+B+C</t>
    </r>
    <r>
      <rPr>
        <b/>
        <vertAlign val="subscript"/>
        <sz val="8"/>
        <rFont val="Arial"/>
        <family val="2"/>
        <charset val="204"/>
      </rPr>
      <t>1</t>
    </r>
    <r>
      <rPr>
        <b/>
        <sz val="12"/>
        <rFont val="Arial"/>
        <family val="2"/>
        <charset val="204"/>
      </rPr>
      <t>) set out by regions of the Russian Federation</t>
    </r>
  </si>
  <si>
    <r>
      <t>Gazprom Group’s hydrocarbons reserves (categories A+B+C</t>
    </r>
    <r>
      <rPr>
        <u/>
        <vertAlign val="subscript"/>
        <sz val="10"/>
        <color indexed="12"/>
        <rFont val="Arial Cyr"/>
        <charset val="204"/>
      </rPr>
      <t>1</t>
    </r>
    <r>
      <rPr>
        <u/>
        <sz val="10"/>
        <color indexed="12"/>
        <rFont val="Arial Cyr"/>
        <charset val="204"/>
      </rPr>
      <t>) set out by regions of the Russian Federation</t>
    </r>
  </si>
  <si>
    <r>
      <t>Change in Gazprom Group’s hydrocarbons reserves (categories A+B+C</t>
    </r>
    <r>
      <rPr>
        <b/>
        <vertAlign val="subscript"/>
        <sz val="12"/>
        <rFont val="Arial"/>
        <family val="2"/>
        <charset val="204"/>
      </rPr>
      <t>1)</t>
    </r>
    <r>
      <rPr>
        <b/>
        <sz val="12"/>
        <rFont val="Arial"/>
        <family val="2"/>
        <charset val="204"/>
      </rPr>
      <t xml:space="preserve"> in Russia</t>
    </r>
  </si>
  <si>
    <r>
      <t>Change in Gazprom Group’s hydrocarbons reserves (categories A+B+C</t>
    </r>
    <r>
      <rPr>
        <u/>
        <vertAlign val="subscript"/>
        <sz val="10"/>
        <color indexed="12"/>
        <rFont val="Arial Cyr"/>
        <charset val="204"/>
      </rPr>
      <t>1</t>
    </r>
    <r>
      <rPr>
        <u/>
        <sz val="10"/>
        <color indexed="12"/>
        <rFont val="Arial Cyr"/>
        <charset val="204"/>
      </rPr>
      <t>) in Russia</t>
    </r>
  </si>
  <si>
    <r>
      <t>Category C</t>
    </r>
    <r>
      <rPr>
        <vertAlign val="subscript"/>
        <sz val="10"/>
        <rFont val="Times New Roman"/>
        <family val="1"/>
        <charset val="204"/>
      </rPr>
      <t>1</t>
    </r>
    <r>
      <rPr>
        <sz val="10"/>
        <rFont val="Times New Roman"/>
        <family val="1"/>
        <charset val="204"/>
      </rPr>
      <t xml:space="preserve"> represents the reserves of a deposit, the oil or gas content of which has been determined on the basis of commercial flows of oil or gas obtained in wells and positive results of geologic exploration of non-probed wells. Category C</t>
    </r>
    <r>
      <rPr>
        <vertAlign val="subscript"/>
        <sz val="10"/>
        <rFont val="Times New Roman"/>
        <family val="1"/>
        <charset val="204"/>
      </rPr>
      <t xml:space="preserve">1 </t>
    </r>
    <r>
      <rPr>
        <sz val="10"/>
        <rFont val="Times New Roman"/>
        <family val="1"/>
        <charset val="204"/>
      </rPr>
      <t xml:space="preserve">reserves are computed on the basis of results of geophysical exploration work and production drilling and must have been studied in sufficient detail to yield data from which to draw up either a trial industrial development project in the case of a natural gas field or a technological development scheme in the case of an oil field. </t>
    </r>
  </si>
  <si>
    <t>* The list of subsidiaries is presented in the Glossary.</t>
  </si>
  <si>
    <t>Name of the field (area)</t>
  </si>
  <si>
    <t>* In accordance with the Russian state classification: OGC – oil,-gas, condensate; OG – oil and gas; GC – gas condensate; G – gas; O – oil.</t>
  </si>
  <si>
    <t>Gazprom Group’s hydrocarbons production in Russia set out by federal districts</t>
  </si>
  <si>
    <r>
      <rPr>
        <i/>
        <sz val="8"/>
        <rFont val="Times New Roman"/>
        <family val="1"/>
        <charset val="204"/>
      </rPr>
      <t>Group’s</t>
    </r>
    <r>
      <rPr>
        <sz val="8"/>
        <rFont val="Times New Roman"/>
        <family val="1"/>
        <charset val="204"/>
      </rPr>
      <t xml:space="preserve"> project participant – subsidiary Gazprom EP International B.V.</t>
    </r>
  </si>
  <si>
    <r>
      <rPr>
        <i/>
        <sz val="8"/>
        <rFont val="Times New Roman"/>
        <family val="1"/>
        <charset val="204"/>
      </rPr>
      <t>Group’s</t>
    </r>
    <r>
      <rPr>
        <sz val="8"/>
        <rFont val="Times New Roman"/>
        <family val="1"/>
        <charset val="204"/>
      </rPr>
      <t xml:space="preserve"> project participant – subsidiary Gazprom EP International B.V.
“Ipati / Aquio” project partners –Total (60%) and TecPetrol (20%).
</t>
    </r>
    <r>
      <rPr>
        <i/>
        <sz val="8"/>
        <rFont val="Times New Roman"/>
        <family val="1"/>
        <charset val="204"/>
      </rPr>
      <t xml:space="preserve">Group’s </t>
    </r>
    <r>
      <rPr>
        <sz val="8"/>
        <rFont val="Times New Roman"/>
        <family val="1"/>
        <charset val="204"/>
      </rPr>
      <t xml:space="preserve">participation in project – 20%.
Financing is provided on a pro rata basis.
</t>
    </r>
  </si>
  <si>
    <r>
      <rPr>
        <i/>
        <sz val="8"/>
        <rFont val="Times New Roman"/>
        <family val="1"/>
        <charset val="204"/>
      </rPr>
      <t>The Group</t>
    </r>
    <r>
      <rPr>
        <sz val="8"/>
        <rFont val="Times New Roman"/>
        <family val="1"/>
        <charset val="204"/>
      </rPr>
      <t xml:space="preserve"> established two companies: Urdanetagazprom-1, S.A. and Urdanetagazprom-2, S.A. to implement this project. 
The licenses granted for geologic exploration and development of the fields for the period of 30 years.
</t>
    </r>
  </si>
  <si>
    <r>
      <t xml:space="preserve">Memorandum of understanding with Venezuelian oil and gas state company PdVSA. 
</t>
    </r>
    <r>
      <rPr>
        <i/>
        <sz val="8"/>
        <rFont val="Times New Roman"/>
        <family val="1"/>
        <charset val="204"/>
      </rPr>
      <t xml:space="preserve">Group’s </t>
    </r>
    <r>
      <rPr>
        <sz val="8"/>
        <rFont val="Times New Roman"/>
        <family val="1"/>
        <charset val="204"/>
      </rPr>
      <t xml:space="preserve">participation in the project
■ at exploration stage – 30 %;
■ at production stage – 15 %.
</t>
    </r>
  </si>
  <si>
    <r>
      <t xml:space="preserve">Production sharing agreement.
Projects operator is joint operation company Vietgazprom.
</t>
    </r>
    <r>
      <rPr>
        <i/>
        <sz val="8"/>
        <rFont val="Times New Roman"/>
        <family val="1"/>
        <charset val="204"/>
      </rPr>
      <t>Group’s</t>
    </r>
    <r>
      <rPr>
        <sz val="8"/>
        <rFont val="Times New Roman"/>
        <family val="1"/>
        <charset val="204"/>
      </rPr>
      <t xml:space="preserve"> participation in the project – 
50 %.
</t>
    </r>
  </si>
  <si>
    <r>
      <t xml:space="preserve">Production sharing agreemement.
</t>
    </r>
    <r>
      <rPr>
        <i/>
        <sz val="8"/>
        <rFont val="Times New Roman"/>
        <family val="1"/>
        <charset val="204"/>
      </rPr>
      <t>Group’s</t>
    </r>
    <r>
      <rPr>
        <sz val="8"/>
        <rFont val="Times New Roman"/>
        <family val="1"/>
        <charset val="204"/>
      </rPr>
      <t xml:space="preserve"> participation in project – 100 %.
</t>
    </r>
  </si>
  <si>
    <t xml:space="preserve">In 2010, the implementation of the Production sharing agreement was completed, with construction of the exploration well to a depth of 3,230 meters. Gazprom fulfilled its license obligations in full and in accordance with the terms of the Product sharing agreement. Based on the results of geologic-geophysical surveys 
(4,892 linear km of 2D seismic works, 570 sq. kilometers of 3D seismic works, construction of three exploration wells, drilling of 10,013 meters ), information on the block’s structure was received and electronic base of the geologic-geophysical data on the block № 26 was formed.   
</t>
  </si>
  <si>
    <r>
      <t xml:space="preserve">Project is implemented in the form of consortium where OAO Gazprom Neft acting as an operator. The rest participants are: Korean KOGAS (22.5%), Malaysian Petronas (15%), Turkish TPAO (7.5%) and the government of Iraq (25%).
</t>
    </r>
    <r>
      <rPr>
        <i/>
        <sz val="8"/>
        <rFont val="Times New Roman"/>
        <family val="1"/>
        <charset val="204"/>
      </rPr>
      <t>Group’s</t>
    </r>
    <r>
      <rPr>
        <sz val="8"/>
        <rFont val="Times New Roman"/>
        <family val="1"/>
        <charset val="204"/>
      </rPr>
      <t xml:space="preserve"> participation in project – 30 %. 
</t>
    </r>
  </si>
  <si>
    <r>
      <t xml:space="preserve">OOO TsentrKaspNeftegaz and AO National company KazMunaiGaz are participating on parity basis.
</t>
    </r>
    <r>
      <rPr>
        <i/>
        <sz val="8"/>
        <rFont val="Times New Roman"/>
        <family val="1"/>
        <charset val="204"/>
      </rPr>
      <t>Group’s</t>
    </r>
    <r>
      <rPr>
        <sz val="8"/>
        <rFont val="Times New Roman"/>
        <family val="1"/>
        <charset val="204"/>
      </rPr>
      <t xml:space="preserve"> participation in the project – 
50 % at the stage of exploration
</t>
    </r>
  </si>
  <si>
    <r>
      <t xml:space="preserve">The project is implemented on the base of the on geological exploration, development and production sharing agreement . 
</t>
    </r>
    <r>
      <rPr>
        <i/>
        <sz val="8"/>
        <rFont val="Times New Roman"/>
        <family val="1"/>
        <charset val="204"/>
      </rPr>
      <t>Group’s</t>
    </r>
    <r>
      <rPr>
        <sz val="8"/>
        <rFont val="Times New Roman"/>
        <family val="1"/>
        <charset val="204"/>
      </rPr>
      <t xml:space="preserve"> project participant – subsidiary Gazprom EP International B.V. 
The partner is Lybian National Oil Corporation.
</t>
    </r>
  </si>
  <si>
    <r>
      <rPr>
        <i/>
        <sz val="8"/>
        <rFont val="Times New Roman"/>
        <family val="1"/>
        <charset val="204"/>
      </rPr>
      <t>Group’s</t>
    </r>
    <r>
      <rPr>
        <sz val="8"/>
        <rFont val="Times New Roman"/>
        <family val="1"/>
        <charset val="204"/>
      </rPr>
      <t xml:space="preserve"> participation in project:
License area № 19:
</t>
    </r>
    <r>
      <rPr>
        <sz val="8"/>
        <rFont val="Arial Cyr"/>
        <charset val="204"/>
      </rPr>
      <t>■</t>
    </r>
    <r>
      <rPr>
        <sz val="8"/>
        <rFont val="Times New Roman"/>
        <family val="1"/>
        <charset val="204"/>
      </rPr>
      <t xml:space="preserve"> At geologic exploration stage – 100 %; 
■ At production stage – 10 %.
License area № 64:
■ At geologic exploration stage – 100 %; 
■ At production stage – 9.8 %.
</t>
    </r>
  </si>
  <si>
    <r>
      <t>Partners: BASF SE and National Oil Corporation.</t>
    </r>
    <r>
      <rPr>
        <i/>
        <sz val="8"/>
        <rFont val="Times New Roman"/>
        <family val="1"/>
        <charset val="204"/>
      </rPr>
      <t xml:space="preserve">
Group’s</t>
    </r>
    <r>
      <rPr>
        <sz val="8"/>
        <rFont val="Times New Roman"/>
        <family val="1"/>
        <charset val="204"/>
      </rPr>
      <t xml:space="preserve"> participation in project – 49 %.
</t>
    </r>
  </si>
  <si>
    <r>
      <t xml:space="preserve">The project is implemented on the base of the production sharing agreement.
</t>
    </r>
    <r>
      <rPr>
        <i/>
        <sz val="8"/>
        <rFont val="Times New Roman"/>
        <family val="1"/>
        <charset val="204"/>
      </rPr>
      <t>Group’s</t>
    </r>
    <r>
      <rPr>
        <sz val="8"/>
        <rFont val="Times New Roman"/>
        <family val="1"/>
        <charset val="204"/>
      </rPr>
      <t xml:space="preserve"> project participant – affiliated company Gazprom Neft Equatorial B.V.
Partner – National Oil Company of Equatorial Guinea (GEPetrol).
</t>
    </r>
    <r>
      <rPr>
        <i/>
        <sz val="8"/>
        <rFont val="Times New Roman"/>
        <family val="1"/>
        <charset val="204"/>
      </rPr>
      <t xml:space="preserve">Group’s </t>
    </r>
    <r>
      <rPr>
        <sz val="8"/>
        <rFont val="Times New Roman"/>
        <family val="1"/>
        <charset val="204"/>
      </rPr>
      <t xml:space="preserve">participation in the project at the stage of geological exploration works – 80%.  
</t>
    </r>
  </si>
  <si>
    <t>Allocation of main promising fields of Gazprom Group in Russia</t>
  </si>
  <si>
    <t>Gazprom Group's major promising fields in Russia</t>
  </si>
  <si>
    <t>The number of technical faults per 1,000 km</t>
  </si>
  <si>
    <t>Pochinki – Gryazovets</t>
  </si>
  <si>
    <t>Opportunity to provide the Gryazovetsky gas transportation center with additional gas supply volumes and maneuvering gas flows after commissioning of the Yamal Peninsula fields</t>
  </si>
  <si>
    <t>653 km</t>
  </si>
  <si>
    <t xml:space="preserve"> 5 CS / 416 MW</t>
  </si>
  <si>
    <t>Up to 36 bcm</t>
  </si>
  <si>
    <t>298.3 km of the linear section of the gas pipeline and one compressor station with capacity of 96 MW had been commissioned as of December 31, 2010. The first stage of the pipeline construction is planned to be completed in 2012.</t>
  </si>
  <si>
    <t>Meeting the demands of gas consumers in the Khabarovsk and Primorsk territories and the Sakhalin region.</t>
  </si>
  <si>
    <t xml:space="preserve">1,322 km
(including
a two-line
crossing
through the
Nevelski
strait – 24 km
and branch
to the gas
gathering
station of the
city of Vladivostok
– 115 km)
</t>
  </si>
  <si>
    <t>Providing gas supplies to consumers of the Tuapse district of the city of Sochi,
adjacent areas and Olympic facilities, as well as energy security for the Sochi region.</t>
  </si>
  <si>
    <t>Gas injection into UGSFs, mmcm</t>
  </si>
  <si>
    <t>Injection season</t>
  </si>
  <si>
    <t>Withdrawal season</t>
  </si>
  <si>
    <t>Gas withdrawal from UGSFs, mmcm</t>
  </si>
  <si>
    <t>Gas injection into and withdrawal from UGSF abroad</t>
  </si>
  <si>
    <t>Gas injection into UGSFs abroad, mmcm</t>
  </si>
  <si>
    <t>* Volumes sold to UGSFs not included.</t>
  </si>
  <si>
    <t>Major refined and petrochemical products produced by Gazprom Group (excluding give-and-take raw materials)</t>
  </si>
  <si>
    <t>*** Sibur Holding results  are included prior to its deconsolidation since Q3 2008.</t>
  </si>
  <si>
    <t>Sosnogorsk GPP</t>
  </si>
  <si>
    <r>
      <t xml:space="preserve">More than that </t>
    </r>
    <r>
      <rPr>
        <i/>
        <sz val="8"/>
        <rFont val="Times New Roman"/>
        <family val="1"/>
        <charset val="204"/>
      </rPr>
      <t xml:space="preserve">Gazprom Group </t>
    </r>
    <r>
      <rPr>
        <sz val="8"/>
        <rFont val="Times New Roman"/>
        <family val="1"/>
        <charset val="204"/>
      </rPr>
      <t>has an access to capacities of OAO Slavneft-Yaroslavnefteorgsintez according to equity participation in 
OAO NGK Slavneft:</t>
    </r>
  </si>
  <si>
    <r>
      <t xml:space="preserve">* Included into </t>
    </r>
    <r>
      <rPr>
        <i/>
        <sz val="8"/>
        <rFont val="Times New Roman"/>
        <family val="1"/>
        <charset val="204"/>
      </rPr>
      <t>Gazprom Group’s</t>
    </r>
    <r>
      <rPr>
        <sz val="8"/>
        <rFont val="Times New Roman"/>
        <family val="1"/>
        <charset val="204"/>
      </rPr>
      <t xml:space="preserve"> results effective from consolidation since 2H 2007.</t>
    </r>
  </si>
  <si>
    <r>
      <t xml:space="preserve">** Included into </t>
    </r>
    <r>
      <rPr>
        <i/>
        <sz val="8"/>
        <rFont val="Times New Roman"/>
        <family val="1"/>
        <charset val="204"/>
      </rPr>
      <t>Gazprom Group’s</t>
    </r>
    <r>
      <rPr>
        <sz val="8"/>
        <rFont val="Times New Roman"/>
        <family val="1"/>
        <charset val="204"/>
      </rPr>
      <t xml:space="preserve"> results effective from consolidation since 2H 2008.</t>
    </r>
  </si>
  <si>
    <r>
      <t xml:space="preserve">*** Included into </t>
    </r>
    <r>
      <rPr>
        <i/>
        <sz val="8"/>
        <rFont val="Times New Roman"/>
        <family val="1"/>
        <charset val="204"/>
      </rPr>
      <t>Gazprom Group’s</t>
    </r>
    <r>
      <rPr>
        <sz val="8"/>
        <rFont val="Times New Roman"/>
        <family val="1"/>
        <charset val="204"/>
      </rPr>
      <t xml:space="preserve"> results effective from January 1, 2010.</t>
    </r>
  </si>
  <si>
    <t>Gas sales</t>
  </si>
  <si>
    <t>Sales of natural gas (net of VAT, excise tax, and customs duties)</t>
  </si>
  <si>
    <t>Far abroad*</t>
  </si>
  <si>
    <t>* Since 2008, gas sales are provided net of Gazprom Germaniya Group’s trading operations without actual delivery.</t>
  </si>
  <si>
    <t>Average natural gas price (net of VAT, excise tax, and customs duties)</t>
  </si>
  <si>
    <t xml:space="preserve">Gas supply to Russian consumers through UGSS (net of UGSS process needs)*, bcm </t>
  </si>
  <si>
    <t>** Results for the period 2006–2008 are provided excluding Gazprom Neft gas production volumes.</t>
  </si>
  <si>
    <t xml:space="preserve">Gazprom Group’s gas sales in Russia set out by consumer group </t>
  </si>
  <si>
    <r>
      <t xml:space="preserve">*Sales to power generation sector are provided net of gas sales to </t>
    </r>
    <r>
      <rPr>
        <i/>
        <sz val="8"/>
        <rFont val="Times New Roman"/>
        <family val="1"/>
        <charset val="204"/>
      </rPr>
      <t>Group’s</t>
    </r>
    <r>
      <rPr>
        <sz val="8"/>
        <rFont val="Times New Roman"/>
        <family val="1"/>
        <charset val="204"/>
      </rPr>
      <t xml:space="preserve"> power generatin companies.</t>
    </r>
  </si>
  <si>
    <t>Sales of electricity and heat energy (net of VAT)*</t>
  </si>
  <si>
    <t>* Since 2008, electricity and heat energy sales are provided net of Gazprom Germaniya Group’s trading operations without actual delivery.</t>
  </si>
  <si>
    <t>Energy savings by OAO Gazprom and its major 100% subsidiaries</t>
  </si>
  <si>
    <t>176.2 km</t>
  </si>
  <si>
    <t xml:space="preserve">In the period from October through December 2008, 5,000 sq. kilometers of 3D seismic works were carried out.
Interpretation of  2D and 3D seismic survey has been completed, prospective objects were identified. 
It was planned that by 2012 a large (in terms of reserves) the Yuzhnoye oil field would be opened and prepared for the development in the area № 19.
</t>
  </si>
  <si>
    <r>
      <rPr>
        <i/>
        <sz val="10"/>
        <rFont val="Times New Roman"/>
        <family val="1"/>
        <charset val="204"/>
      </rPr>
      <t xml:space="preserve">Gazprom </t>
    </r>
    <r>
      <rPr>
        <sz val="10"/>
        <rFont val="Times New Roman"/>
        <family val="1"/>
        <charset val="204"/>
      </rPr>
      <t xml:space="preserve">prepares and submits for government approval development plans for its fields based on the economic life of the field, even where this life exceeds the primary term of the associated license. </t>
    </r>
    <r>
      <rPr>
        <i/>
        <sz val="10"/>
        <rFont val="Times New Roman"/>
        <family val="1"/>
        <charset val="204"/>
      </rPr>
      <t>Gazprom</t>
    </r>
    <r>
      <rPr>
        <sz val="10"/>
        <rFont val="Times New Roman"/>
        <family val="1"/>
        <charset val="204"/>
      </rPr>
      <t xml:space="preserve"> is in material compliance with license agreements, and will be entitled to extend them to the full economic lives of the associated fields upon the expiration of their primary validity periods. However, the absence of an absolute legal right to extension and a significant demonstrated history of extension makes it uncertain whether extractable reserves </t>
    </r>
    <r>
      <rPr>
        <i/>
        <sz val="10"/>
        <rFont val="Times New Roman"/>
        <family val="1"/>
        <charset val="204"/>
      </rPr>
      <t xml:space="preserve">Gazprom </t>
    </r>
    <r>
      <rPr>
        <sz val="10"/>
        <rFont val="Times New Roman"/>
        <family val="1"/>
        <charset val="204"/>
      </rPr>
      <t>plans to recover after the expiration of a current license validity period may be considered proved reserves under SEC Standards. SEC experts have not provided definitive guidance on whether in these circumstances such extractable re-serves could be considered proved under SEC Standards.</t>
    </r>
  </si>
  <si>
    <t xml:space="preserve">In 2011, Feasibility Study and Proposals on development of resources of the Urumaco-III block and study of its adjacent areas perspectives have been made as part of the “Rafael – Urdaneta” project. A decision on further works under the “Rafael – Urdaneta” project is planned to be made after considering the results of the Feasibility Study and Proposals. </t>
  </si>
</sst>
</file>

<file path=xl/styles.xml><?xml version="1.0" encoding="utf-8"?>
<styleSheet xmlns="http://schemas.openxmlformats.org/spreadsheetml/2006/main">
  <numFmts count="14">
    <numFmt numFmtId="43" formatCode="_-* #,##0.00_р_._-;\-* #,##0.00_р_._-;_-* &quot;-&quot;??_р_._-;_-@_-"/>
    <numFmt numFmtId="164" formatCode="0.0"/>
    <numFmt numFmtId="165" formatCode="#,##0.0"/>
    <numFmt numFmtId="166" formatCode="_(* #,##0.0_);_(* \(#,##0.0\);_(* &quot;-&quot;??_);_(@_)"/>
    <numFmt numFmtId="167" formatCode="0.0%"/>
    <numFmt numFmtId="168" formatCode="0.000%"/>
    <numFmt numFmtId="169" formatCode="#,##0.0;\(#,##0.0\);&quot;-&quot;"/>
    <numFmt numFmtId="170" formatCode="#,##0.00;\(#,##0.00\);&quot;-&quot;"/>
    <numFmt numFmtId="171" formatCode="0.00000000"/>
    <numFmt numFmtId="172" formatCode="0.0;\-0.0;&quot;-&quot;"/>
    <numFmt numFmtId="173" formatCode="#,##0;\(#,##0\);&quot;-&quot;"/>
    <numFmt numFmtId="174" formatCode="0.0%;\-0.0%;&quot;-&quot;"/>
    <numFmt numFmtId="175" formatCode="_-* #,##0.0_р_._-;\-* #,##0.0_р_._-;_-* &quot;-&quot;?_р_._-;_-@_-"/>
    <numFmt numFmtId="176" formatCode="00000"/>
  </numFmts>
  <fonts count="42">
    <font>
      <sz val="10"/>
      <name val="Arial Cyr"/>
    </font>
    <font>
      <sz val="10"/>
      <name val="Arial Cyr"/>
      <charset val="204"/>
    </font>
    <font>
      <sz val="10"/>
      <name val="Times New Roman"/>
      <family val="1"/>
      <charset val="204"/>
    </font>
    <font>
      <sz val="12"/>
      <name val="Times New Roman"/>
      <family val="1"/>
      <charset val="204"/>
    </font>
    <font>
      <b/>
      <sz val="8"/>
      <name val="Times New Roman"/>
      <family val="1"/>
      <charset val="204"/>
    </font>
    <font>
      <sz val="8"/>
      <name val="Times New Roman"/>
      <family val="1"/>
      <charset val="204"/>
    </font>
    <font>
      <u/>
      <sz val="10"/>
      <color indexed="12"/>
      <name val="Arial Cyr"/>
      <charset val="204"/>
    </font>
    <font>
      <sz val="8"/>
      <name val="Arial Cyr"/>
      <charset val="204"/>
    </font>
    <font>
      <vertAlign val="subscript"/>
      <sz val="8"/>
      <name val="Times New Roman"/>
      <family val="1"/>
      <charset val="204"/>
    </font>
    <font>
      <b/>
      <sz val="10"/>
      <name val="Arial"/>
      <family val="2"/>
      <charset val="204"/>
    </font>
    <font>
      <sz val="8"/>
      <color indexed="8"/>
      <name val="Times New Roman"/>
      <family val="1"/>
      <charset val="204"/>
    </font>
    <font>
      <b/>
      <sz val="8"/>
      <color indexed="8"/>
      <name val="Times New Roman"/>
      <family val="1"/>
      <charset val="204"/>
    </font>
    <font>
      <b/>
      <sz val="10"/>
      <name val="Arial"/>
      <family val="2"/>
      <charset val="204"/>
    </font>
    <font>
      <i/>
      <sz val="10"/>
      <name val="Times New Roman"/>
      <family val="1"/>
      <charset val="204"/>
    </font>
    <font>
      <b/>
      <sz val="10"/>
      <name val="Times New Roman"/>
      <family val="1"/>
      <charset val="204"/>
    </font>
    <font>
      <b/>
      <sz val="14"/>
      <name val="Times New Roman"/>
      <family val="1"/>
      <charset val="204"/>
    </font>
    <font>
      <b/>
      <sz val="8"/>
      <color indexed="9"/>
      <name val="Times New Roman"/>
      <family val="1"/>
      <charset val="204"/>
    </font>
    <font>
      <sz val="7"/>
      <name val="Times New Roman"/>
      <family val="1"/>
      <charset val="204"/>
    </font>
    <font>
      <b/>
      <vertAlign val="superscript"/>
      <sz val="8"/>
      <color indexed="9"/>
      <name val="Times New Roman"/>
      <family val="1"/>
      <charset val="204"/>
    </font>
    <font>
      <sz val="8"/>
      <color indexed="9"/>
      <name val="Times New Roman"/>
      <family val="1"/>
      <charset val="204"/>
    </font>
    <font>
      <sz val="8"/>
      <color indexed="63"/>
      <name val="Times New Roman"/>
      <family val="1"/>
      <charset val="204"/>
    </font>
    <font>
      <vertAlign val="subscript"/>
      <sz val="10"/>
      <name val="Times New Roman"/>
      <family val="1"/>
      <charset val="204"/>
    </font>
    <font>
      <sz val="10"/>
      <name val="Symbol"/>
      <family val="1"/>
      <charset val="2"/>
    </font>
    <font>
      <i/>
      <sz val="8"/>
      <color indexed="9"/>
      <name val="Times New Roman"/>
      <family val="1"/>
      <charset val="204"/>
    </font>
    <font>
      <sz val="8"/>
      <name val="Arial Cyr"/>
    </font>
    <font>
      <i/>
      <sz val="8"/>
      <name val="Times New Roman"/>
      <family val="1"/>
      <charset val="204"/>
    </font>
    <font>
      <sz val="10"/>
      <name val="Arial Cyr"/>
    </font>
    <font>
      <b/>
      <sz val="20"/>
      <name val="Arial"/>
      <family val="2"/>
      <charset val="204"/>
    </font>
    <font>
      <b/>
      <sz val="12"/>
      <name val="Arial"/>
      <family val="2"/>
      <charset val="204"/>
    </font>
    <font>
      <b/>
      <vertAlign val="subscript"/>
      <sz val="12"/>
      <name val="Arial"/>
      <family val="2"/>
      <charset val="204"/>
    </font>
    <font>
      <sz val="10"/>
      <name val="Arial"/>
      <family val="2"/>
      <charset val="204"/>
    </font>
    <font>
      <b/>
      <sz val="10"/>
      <name val="Arial Cyr"/>
      <charset val="204"/>
    </font>
    <font>
      <b/>
      <u/>
      <sz val="10"/>
      <color indexed="12"/>
      <name val="Arial Cyr"/>
      <charset val="204"/>
    </font>
    <font>
      <b/>
      <u/>
      <sz val="10"/>
      <color indexed="30"/>
      <name val="Arial Cyr"/>
      <charset val="204"/>
    </font>
    <font>
      <sz val="9"/>
      <name val="Times New Roman"/>
      <family val="1"/>
      <charset val="204"/>
    </font>
    <font>
      <sz val="5"/>
      <name val="Times New Roman"/>
      <family val="1"/>
      <charset val="204"/>
    </font>
    <font>
      <sz val="10"/>
      <color indexed="9"/>
      <name val="Arial Cyr"/>
    </font>
    <font>
      <b/>
      <u/>
      <sz val="10"/>
      <color indexed="9"/>
      <name val="Arial Cyr"/>
      <charset val="204"/>
    </font>
    <font>
      <b/>
      <sz val="10"/>
      <color indexed="9"/>
      <name val="Arial"/>
      <family val="2"/>
      <charset val="204"/>
    </font>
    <font>
      <b/>
      <vertAlign val="subscript"/>
      <sz val="8"/>
      <name val="Arial"/>
      <family val="2"/>
      <charset val="204"/>
    </font>
    <font>
      <u/>
      <vertAlign val="subscript"/>
      <sz val="10"/>
      <color indexed="12"/>
      <name val="Arial Cyr"/>
      <charset val="204"/>
    </font>
    <font>
      <b/>
      <sz val="8"/>
      <color theme="0"/>
      <name val="Times New Roman"/>
      <family val="1"/>
      <charset val="204"/>
    </font>
  </fonts>
  <fills count="5">
    <fill>
      <patternFill patternType="none"/>
    </fill>
    <fill>
      <patternFill patternType="gray125"/>
    </fill>
    <fill>
      <patternFill patternType="solid">
        <fgColor indexed="9"/>
        <bgColor indexed="64"/>
      </patternFill>
    </fill>
    <fill>
      <patternFill patternType="solid">
        <fgColor indexed="30"/>
        <bgColor indexed="64"/>
      </patternFill>
    </fill>
    <fill>
      <patternFill patternType="solid">
        <fgColor theme="0"/>
        <bgColor indexed="64"/>
      </patternFill>
    </fill>
  </fills>
  <borders count="21">
    <border>
      <left/>
      <right/>
      <top/>
      <bottom/>
      <diagonal/>
    </border>
    <border>
      <left/>
      <right/>
      <top/>
      <bottom style="medium">
        <color indexed="30"/>
      </bottom>
      <diagonal/>
    </border>
    <border>
      <left/>
      <right/>
      <top style="medium">
        <color indexed="30"/>
      </top>
      <bottom/>
      <diagonal/>
    </border>
    <border>
      <left/>
      <right/>
      <top/>
      <bottom style="thick">
        <color indexed="30"/>
      </bottom>
      <diagonal/>
    </border>
    <border>
      <left/>
      <right/>
      <top style="thick">
        <color indexed="30"/>
      </top>
      <bottom/>
      <diagonal/>
    </border>
    <border>
      <left/>
      <right/>
      <top/>
      <bottom style="thin">
        <color indexed="30"/>
      </bottom>
      <diagonal/>
    </border>
    <border>
      <left/>
      <right/>
      <top style="medium">
        <color indexed="30"/>
      </top>
      <bottom style="thick">
        <color indexed="30"/>
      </bottom>
      <diagonal/>
    </border>
    <border>
      <left/>
      <right/>
      <top style="thin">
        <color indexed="48"/>
      </top>
      <bottom/>
      <diagonal/>
    </border>
    <border>
      <left/>
      <right/>
      <top style="thin">
        <color indexed="30"/>
      </top>
      <bottom/>
      <diagonal/>
    </border>
    <border>
      <left/>
      <right/>
      <top/>
      <bottom style="thin">
        <color indexed="48"/>
      </bottom>
      <diagonal/>
    </border>
    <border>
      <left/>
      <right/>
      <top style="thin">
        <color indexed="30"/>
      </top>
      <bottom style="thick">
        <color indexed="30"/>
      </bottom>
      <diagonal/>
    </border>
    <border>
      <left/>
      <right/>
      <top style="thin">
        <color indexed="30"/>
      </top>
      <bottom style="thin">
        <color indexed="30"/>
      </bottom>
      <diagonal/>
    </border>
    <border>
      <left/>
      <right/>
      <top style="medium">
        <color indexed="30"/>
      </top>
      <bottom style="medium">
        <color indexed="30"/>
      </bottom>
      <diagonal/>
    </border>
    <border>
      <left/>
      <right/>
      <top/>
      <bottom style="medium">
        <color indexed="64"/>
      </bottom>
      <diagonal/>
    </border>
    <border>
      <left/>
      <right/>
      <top style="medium">
        <color indexed="30"/>
      </top>
      <bottom style="thin">
        <color indexed="30"/>
      </bottom>
      <diagonal/>
    </border>
    <border>
      <left/>
      <right/>
      <top style="thin">
        <color indexed="48"/>
      </top>
      <bottom style="thin">
        <color indexed="48"/>
      </bottom>
      <diagonal/>
    </border>
    <border>
      <left/>
      <right/>
      <top style="thick">
        <color indexed="30"/>
      </top>
      <bottom style="thin">
        <color indexed="30"/>
      </bottom>
      <diagonal/>
    </border>
    <border>
      <left/>
      <right/>
      <top style="thin">
        <color rgb="FF0070C0"/>
      </top>
      <bottom style="thin">
        <color rgb="FF0070C0"/>
      </bottom>
      <diagonal/>
    </border>
    <border>
      <left/>
      <right/>
      <top/>
      <bottom style="thin">
        <color indexed="64"/>
      </bottom>
      <diagonal/>
    </border>
    <border>
      <left/>
      <right/>
      <top/>
      <bottom style="medium">
        <color rgb="FF0070C0"/>
      </bottom>
      <diagonal/>
    </border>
    <border>
      <left/>
      <right/>
      <top style="medium">
        <color rgb="FF0070C0"/>
      </top>
      <bottom/>
      <diagonal/>
    </border>
  </borders>
  <cellStyleXfs count="6">
    <xf numFmtId="0" fontId="0" fillId="0" borderId="0" applyFont="0" applyFill="0" applyBorder="0" applyAlignment="0" applyProtection="0"/>
    <xf numFmtId="0" fontId="26"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647">
    <xf numFmtId="0" fontId="0" fillId="0" borderId="0" xfId="0"/>
    <xf numFmtId="0" fontId="0" fillId="0" borderId="0" xfId="1" applyFont="1" applyBorder="1"/>
    <xf numFmtId="0" fontId="0" fillId="2" borderId="0" xfId="1" applyFont="1" applyFill="1"/>
    <xf numFmtId="0" fontId="0" fillId="2" borderId="0" xfId="1" applyFont="1" applyFill="1" applyAlignment="1">
      <alignment wrapText="1"/>
    </xf>
    <xf numFmtId="0" fontId="0" fillId="2" borderId="0" xfId="1" applyFont="1" applyFill="1" applyBorder="1"/>
    <xf numFmtId="0" fontId="0" fillId="2" borderId="0" xfId="1" applyFont="1" applyFill="1" applyBorder="1" applyAlignment="1">
      <alignment wrapText="1"/>
    </xf>
    <xf numFmtId="165" fontId="5" fillId="2" borderId="0" xfId="1" applyNumberFormat="1" applyFont="1" applyFill="1" applyAlignment="1">
      <alignment horizontal="right" wrapText="1"/>
    </xf>
    <xf numFmtId="165" fontId="5" fillId="2" borderId="0" xfId="1" applyNumberFormat="1" applyFont="1" applyFill="1" applyBorder="1" applyAlignment="1">
      <alignment horizontal="right" wrapText="1"/>
    </xf>
    <xf numFmtId="0" fontId="5" fillId="2" borderId="0" xfId="1" applyFont="1" applyFill="1" applyBorder="1" applyAlignment="1">
      <alignment wrapText="1"/>
    </xf>
    <xf numFmtId="164" fontId="5" fillId="2" borderId="0" xfId="1" applyNumberFormat="1" applyFont="1" applyFill="1" applyBorder="1" applyAlignment="1">
      <alignment horizontal="center" wrapText="1"/>
    </xf>
    <xf numFmtId="0" fontId="5" fillId="2" borderId="0" xfId="1" applyFont="1" applyFill="1" applyBorder="1" applyAlignment="1">
      <alignment horizontal="center" wrapText="1"/>
    </xf>
    <xf numFmtId="0" fontId="12" fillId="2" borderId="0" xfId="1" applyFont="1" applyFill="1" applyBorder="1" applyAlignment="1">
      <alignment horizontal="center" vertical="center"/>
    </xf>
    <xf numFmtId="165" fontId="4" fillId="2" borderId="0" xfId="1" applyNumberFormat="1" applyFont="1" applyFill="1" applyBorder="1" applyAlignment="1">
      <alignment horizontal="right" vertical="top" wrapText="1"/>
    </xf>
    <xf numFmtId="0" fontId="9" fillId="2" borderId="0" xfId="1" applyFont="1" applyFill="1" applyBorder="1"/>
    <xf numFmtId="167" fontId="0" fillId="2" borderId="0" xfId="1" applyNumberFormat="1" applyFont="1" applyFill="1" applyBorder="1"/>
    <xf numFmtId="168" fontId="0" fillId="2" borderId="0" xfId="1" applyNumberFormat="1" applyFont="1" applyFill="1"/>
    <xf numFmtId="171" fontId="0" fillId="2" borderId="0" xfId="1" applyNumberFormat="1" applyFont="1" applyFill="1" applyBorder="1"/>
    <xf numFmtId="0" fontId="26" fillId="2" borderId="0" xfId="1" applyFont="1" applyFill="1"/>
    <xf numFmtId="0" fontId="32" fillId="2" borderId="0" xfId="2" applyFont="1" applyFill="1" applyBorder="1" applyAlignment="1" applyProtection="1"/>
    <xf numFmtId="0" fontId="33" fillId="2" borderId="0" xfId="2" applyFont="1" applyFill="1" applyBorder="1" applyAlignment="1" applyProtection="1"/>
    <xf numFmtId="0" fontId="32" fillId="2" borderId="0" xfId="2" applyFont="1" applyFill="1" applyBorder="1" applyAlignment="1" applyProtection="1">
      <alignment horizontal="left"/>
    </xf>
    <xf numFmtId="0" fontId="0" fillId="2" borderId="0" xfId="1" applyFont="1" applyFill="1" applyAlignment="1"/>
    <xf numFmtId="0" fontId="26" fillId="2" borderId="0" xfId="1" applyFont="1" applyFill="1" applyBorder="1"/>
    <xf numFmtId="0" fontId="28" fillId="2" borderId="0" xfId="1" applyFont="1" applyFill="1" applyProtection="1">
      <protection hidden="1"/>
    </xf>
    <xf numFmtId="0" fontId="2" fillId="0" borderId="0" xfId="1" applyFont="1" applyAlignment="1" applyProtection="1">
      <alignment horizontal="justify"/>
      <protection hidden="1"/>
    </xf>
    <xf numFmtId="0" fontId="2" fillId="2" borderId="0" xfId="1" applyFont="1" applyFill="1" applyAlignment="1" applyProtection="1">
      <alignment horizontal="justify" wrapText="1"/>
      <protection hidden="1"/>
    </xf>
    <xf numFmtId="0" fontId="31" fillId="2" borderId="0" xfId="1" applyFont="1" applyFill="1" applyProtection="1">
      <protection hidden="1"/>
    </xf>
    <xf numFmtId="0" fontId="28" fillId="0" borderId="0" xfId="1" applyFont="1" applyProtection="1">
      <protection hidden="1"/>
    </xf>
    <xf numFmtId="0" fontId="0" fillId="2" borderId="0" xfId="1" applyFont="1" applyFill="1" applyProtection="1">
      <protection hidden="1"/>
    </xf>
    <xf numFmtId="0" fontId="16" fillId="3" borderId="0" xfId="1" applyFont="1" applyFill="1" applyAlignment="1" applyProtection="1">
      <alignment horizontal="center" wrapText="1"/>
      <protection hidden="1"/>
    </xf>
    <xf numFmtId="0" fontId="16" fillId="3" borderId="0" xfId="1" applyNumberFormat="1" applyFont="1" applyFill="1" applyAlignment="1" applyProtection="1">
      <alignment horizontal="center" wrapText="1"/>
      <protection hidden="1"/>
    </xf>
    <xf numFmtId="0" fontId="4" fillId="2" borderId="0" xfId="1" applyFont="1" applyFill="1" applyBorder="1" applyAlignment="1" applyProtection="1">
      <alignment wrapText="1"/>
      <protection hidden="1"/>
    </xf>
    <xf numFmtId="0" fontId="4" fillId="2" borderId="0" xfId="1" applyFont="1" applyFill="1" applyAlignment="1" applyProtection="1">
      <alignment horizontal="right" wrapText="1"/>
      <protection hidden="1"/>
    </xf>
    <xf numFmtId="0" fontId="5" fillId="2" borderId="0" xfId="1" applyFont="1" applyFill="1" applyBorder="1" applyAlignment="1" applyProtection="1">
      <alignment horizontal="left" wrapText="1" indent="1"/>
      <protection hidden="1"/>
    </xf>
    <xf numFmtId="167" fontId="5" fillId="2" borderId="0" xfId="1" applyNumberFormat="1" applyFont="1" applyFill="1" applyAlignment="1" applyProtection="1">
      <alignment horizontal="right" wrapText="1"/>
      <protection hidden="1"/>
    </xf>
    <xf numFmtId="167" fontId="5" fillId="2" borderId="0" xfId="0" applyNumberFormat="1" applyFont="1" applyFill="1" applyAlignment="1" applyProtection="1">
      <alignment horizontal="right" wrapText="1"/>
      <protection hidden="1"/>
    </xf>
    <xf numFmtId="0" fontId="5" fillId="2" borderId="1" xfId="1" applyFont="1" applyFill="1" applyBorder="1" applyAlignment="1" applyProtection="1">
      <alignment horizontal="left" wrapText="1" indent="1"/>
      <protection hidden="1"/>
    </xf>
    <xf numFmtId="167" fontId="5" fillId="2" borderId="1" xfId="1" applyNumberFormat="1" applyFont="1" applyFill="1" applyBorder="1" applyAlignment="1" applyProtection="1">
      <alignment horizontal="right" wrapText="1"/>
      <protection hidden="1"/>
    </xf>
    <xf numFmtId="167" fontId="5" fillId="2" borderId="0" xfId="1" applyNumberFormat="1" applyFont="1" applyFill="1" applyBorder="1" applyAlignment="1" applyProtection="1">
      <alignment horizontal="right" wrapText="1"/>
      <protection hidden="1"/>
    </xf>
    <xf numFmtId="167" fontId="5" fillId="2" borderId="0" xfId="0" applyNumberFormat="1" applyFont="1" applyFill="1" applyBorder="1" applyAlignment="1" applyProtection="1">
      <alignment horizontal="right" wrapText="1"/>
      <protection hidden="1"/>
    </xf>
    <xf numFmtId="0" fontId="5" fillId="2" borderId="0" xfId="1" applyFont="1" applyFill="1" applyBorder="1" applyAlignment="1" applyProtection="1">
      <alignment wrapText="1"/>
      <protection hidden="1"/>
    </xf>
    <xf numFmtId="0" fontId="4" fillId="2" borderId="2" xfId="1" applyFont="1" applyFill="1" applyBorder="1" applyAlignment="1" applyProtection="1">
      <alignment horizontal="right" wrapText="1"/>
      <protection hidden="1"/>
    </xf>
    <xf numFmtId="0" fontId="5" fillId="2" borderId="0" xfId="1" applyFont="1" applyFill="1" applyAlignment="1" applyProtection="1">
      <alignment horizontal="left" wrapText="1" indent="1"/>
      <protection hidden="1"/>
    </xf>
    <xf numFmtId="174" fontId="5" fillId="2" borderId="0" xfId="1" applyNumberFormat="1" applyFont="1" applyFill="1" applyAlignment="1" applyProtection="1">
      <alignment horizontal="right" wrapText="1"/>
      <protection hidden="1"/>
    </xf>
    <xf numFmtId="164" fontId="5" fillId="2" borderId="3" xfId="1" applyNumberFormat="1" applyFont="1" applyFill="1" applyBorder="1" applyAlignment="1" applyProtection="1">
      <alignment horizontal="right" wrapText="1"/>
      <protection hidden="1"/>
    </xf>
    <xf numFmtId="0" fontId="5" fillId="2" borderId="3" xfId="0" applyFont="1" applyFill="1" applyBorder="1" applyAlignment="1" applyProtection="1">
      <alignment horizontal="right" wrapText="1"/>
      <protection hidden="1"/>
    </xf>
    <xf numFmtId="0" fontId="5" fillId="2" borderId="0" xfId="1" applyFont="1" applyFill="1" applyAlignment="1" applyProtection="1">
      <alignment horizontal="left" wrapText="1"/>
      <protection hidden="1"/>
    </xf>
    <xf numFmtId="0" fontId="17" fillId="2" borderId="0" xfId="1" applyFont="1" applyFill="1" applyAlignment="1" applyProtection="1">
      <alignment horizontal="justify"/>
      <protection hidden="1"/>
    </xf>
    <xf numFmtId="0" fontId="28" fillId="2" borderId="0" xfId="1" applyFont="1" applyFill="1" applyAlignment="1" applyProtection="1">
      <alignment horizontal="left"/>
      <protection hidden="1"/>
    </xf>
    <xf numFmtId="0" fontId="0" fillId="2" borderId="0" xfId="1" applyFont="1" applyFill="1" applyBorder="1" applyProtection="1">
      <protection hidden="1"/>
    </xf>
    <xf numFmtId="0" fontId="16" fillId="3" borderId="0" xfId="1" applyFont="1" applyFill="1" applyAlignment="1" applyProtection="1">
      <alignment horizontal="center"/>
      <protection hidden="1"/>
    </xf>
    <xf numFmtId="0" fontId="16" fillId="3" borderId="0" xfId="1" applyNumberFormat="1" applyFont="1" applyFill="1" applyAlignment="1" applyProtection="1">
      <alignment horizontal="center"/>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center"/>
      <protection hidden="1"/>
    </xf>
    <xf numFmtId="167" fontId="5" fillId="2" borderId="0" xfId="1" applyNumberFormat="1" applyFont="1" applyFill="1" applyAlignment="1" applyProtection="1">
      <alignment horizontal="right"/>
      <protection hidden="1"/>
    </xf>
    <xf numFmtId="167" fontId="5" fillId="2" borderId="0" xfId="4" applyNumberFormat="1" applyFont="1" applyFill="1" applyAlignment="1" applyProtection="1">
      <alignment horizontal="right"/>
      <protection hidden="1"/>
    </xf>
    <xf numFmtId="0" fontId="5" fillId="2" borderId="1" xfId="1" applyFont="1" applyFill="1" applyBorder="1" applyAlignment="1" applyProtection="1">
      <alignment horizontal="center"/>
      <protection hidden="1"/>
    </xf>
    <xf numFmtId="167" fontId="5" fillId="2" borderId="1" xfId="1" applyNumberFormat="1" applyFont="1" applyFill="1" applyBorder="1" applyAlignment="1" applyProtection="1">
      <alignment horizontal="right"/>
      <protection hidden="1"/>
    </xf>
    <xf numFmtId="0" fontId="5" fillId="2" borderId="2" xfId="1" applyFont="1" applyFill="1" applyBorder="1" applyAlignment="1" applyProtection="1">
      <alignment wrapText="1"/>
      <protection hidden="1"/>
    </xf>
    <xf numFmtId="167" fontId="5" fillId="2" borderId="2" xfId="1" applyNumberFormat="1" applyFont="1" applyFill="1" applyBorder="1" applyAlignment="1" applyProtection="1">
      <alignment horizontal="right"/>
      <protection hidden="1"/>
    </xf>
    <xf numFmtId="2" fontId="5" fillId="2" borderId="0" xfId="1" applyNumberFormat="1" applyFont="1" applyFill="1" applyAlignment="1" applyProtection="1">
      <alignment horizontal="right" wrapText="1"/>
      <protection hidden="1"/>
    </xf>
    <xf numFmtId="2" fontId="5" fillId="2" borderId="0" xfId="1" applyNumberFormat="1" applyFont="1" applyFill="1" applyAlignment="1" applyProtection="1">
      <alignment horizontal="right"/>
      <protection hidden="1"/>
    </xf>
    <xf numFmtId="0" fontId="5" fillId="2" borderId="0" xfId="0" applyFont="1" applyFill="1" applyAlignment="1" applyProtection="1">
      <alignment horizontal="right"/>
      <protection hidden="1"/>
    </xf>
    <xf numFmtId="0" fontId="5" fillId="2" borderId="1" xfId="1" applyFont="1" applyFill="1" applyBorder="1" applyAlignment="1" applyProtection="1">
      <alignment wrapText="1"/>
      <protection hidden="1"/>
    </xf>
    <xf numFmtId="2" fontId="5" fillId="2" borderId="1" xfId="1" applyNumberFormat="1" applyFont="1" applyFill="1" applyBorder="1" applyAlignment="1" applyProtection="1">
      <alignment horizontal="right" wrapText="1"/>
      <protection hidden="1"/>
    </xf>
    <xf numFmtId="2" fontId="5" fillId="2" borderId="1"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protection hidden="1"/>
    </xf>
    <xf numFmtId="2" fontId="5" fillId="2" borderId="0" xfId="1" applyNumberFormat="1" applyFont="1" applyFill="1" applyBorder="1" applyAlignment="1" applyProtection="1">
      <alignment horizontal="right" wrapText="1"/>
      <protection hidden="1"/>
    </xf>
    <xf numFmtId="0" fontId="5" fillId="2" borderId="2" xfId="0" applyFont="1" applyFill="1" applyBorder="1" applyAlignment="1" applyProtection="1">
      <alignment horizontal="right"/>
      <protection hidden="1"/>
    </xf>
    <xf numFmtId="0" fontId="5" fillId="2" borderId="3" xfId="1" applyFont="1" applyFill="1" applyBorder="1" applyAlignment="1" applyProtection="1">
      <alignment wrapText="1"/>
      <protection hidden="1"/>
    </xf>
    <xf numFmtId="0" fontId="5" fillId="2" borderId="3" xfId="1" applyFont="1" applyFill="1" applyBorder="1" applyAlignment="1" applyProtection="1">
      <alignment horizontal="center"/>
      <protection hidden="1"/>
    </xf>
    <xf numFmtId="2" fontId="5" fillId="2" borderId="3" xfId="1" applyNumberFormat="1" applyFont="1" applyFill="1" applyBorder="1" applyAlignment="1" applyProtection="1">
      <alignment horizontal="right" wrapText="1"/>
      <protection hidden="1"/>
    </xf>
    <xf numFmtId="2" fontId="5" fillId="2" borderId="3" xfId="1" applyNumberFormat="1" applyFont="1" applyFill="1" applyBorder="1" applyAlignment="1" applyProtection="1">
      <alignment horizontal="right"/>
      <protection hidden="1"/>
    </xf>
    <xf numFmtId="0" fontId="5" fillId="2" borderId="3" xfId="0" applyFont="1" applyFill="1" applyBorder="1" applyAlignment="1" applyProtection="1">
      <alignment horizontal="right"/>
      <protection hidden="1"/>
    </xf>
    <xf numFmtId="0" fontId="5" fillId="2" borderId="0" xfId="1" applyFont="1" applyFill="1" applyBorder="1" applyAlignment="1" applyProtection="1">
      <alignment horizontal="left"/>
      <protection hidden="1"/>
    </xf>
    <xf numFmtId="0" fontId="5" fillId="0" borderId="0" xfId="1" applyFont="1" applyAlignment="1" applyProtection="1">
      <alignment horizontal="left"/>
      <protection hidden="1"/>
    </xf>
    <xf numFmtId="0" fontId="19" fillId="3" borderId="0" xfId="1" applyFont="1" applyFill="1" applyAlignment="1" applyProtection="1">
      <alignment wrapText="1"/>
      <protection hidden="1"/>
    </xf>
    <xf numFmtId="0" fontId="5" fillId="2" borderId="0" xfId="0" applyFont="1" applyFill="1" applyBorder="1" applyAlignment="1" applyProtection="1">
      <alignment horizontal="right"/>
      <protection hidden="1"/>
    </xf>
    <xf numFmtId="0" fontId="5" fillId="2" borderId="0" xfId="1" applyFont="1" applyFill="1" applyAlignment="1" applyProtection="1">
      <alignment horizontal="right"/>
      <protection hidden="1"/>
    </xf>
    <xf numFmtId="0" fontId="5" fillId="2" borderId="0" xfId="1" applyFont="1" applyFill="1" applyAlignment="1" applyProtection="1">
      <alignment horizontal="center" vertical="top"/>
      <protection hidden="1"/>
    </xf>
    <xf numFmtId="0" fontId="5" fillId="2" borderId="1" xfId="1" applyFont="1" applyFill="1" applyBorder="1" applyAlignment="1" applyProtection="1">
      <alignment horizontal="center" wrapText="1"/>
      <protection hidden="1"/>
    </xf>
    <xf numFmtId="3" fontId="5" fillId="2" borderId="0" xfId="1" applyNumberFormat="1" applyFont="1" applyFill="1" applyAlignment="1" applyProtection="1">
      <alignment horizontal="right"/>
      <protection hidden="1"/>
    </xf>
    <xf numFmtId="3" fontId="5" fillId="2" borderId="2" xfId="0" applyNumberFormat="1" applyFont="1" applyFill="1" applyBorder="1" applyAlignment="1" applyProtection="1">
      <alignment horizontal="right"/>
      <protection hidden="1"/>
    </xf>
    <xf numFmtId="3" fontId="5" fillId="2" borderId="0" xfId="0" applyNumberFormat="1" applyFont="1" applyFill="1" applyAlignment="1" applyProtection="1">
      <alignment horizontal="right"/>
      <protection hidden="1"/>
    </xf>
    <xf numFmtId="0" fontId="5" fillId="2" borderId="0" xfId="1" applyFont="1" applyFill="1" applyBorder="1" applyProtection="1">
      <protection hidden="1"/>
    </xf>
    <xf numFmtId="3" fontId="5" fillId="2" borderId="1" xfId="1" applyNumberFormat="1" applyFont="1" applyFill="1" applyBorder="1" applyAlignment="1" applyProtection="1">
      <alignment horizontal="right"/>
      <protection hidden="1"/>
    </xf>
    <xf numFmtId="164" fontId="5" fillId="2" borderId="0" xfId="1" applyNumberFormat="1" applyFont="1" applyFill="1" applyAlignment="1" applyProtection="1">
      <alignment horizontal="right"/>
      <protection hidden="1"/>
    </xf>
    <xf numFmtId="3" fontId="20" fillId="2" borderId="0" xfId="1" applyNumberFormat="1" applyFont="1" applyFill="1" applyAlignment="1" applyProtection="1">
      <alignment horizontal="right"/>
      <protection hidden="1"/>
    </xf>
    <xf numFmtId="4" fontId="5" fillId="2" borderId="1" xfId="1" applyNumberFormat="1" applyFont="1" applyFill="1" applyBorder="1" applyAlignment="1" applyProtection="1">
      <alignment horizontal="right"/>
      <protection hidden="1"/>
    </xf>
    <xf numFmtId="0" fontId="5" fillId="2" borderId="2" xfId="1" applyFont="1" applyFill="1" applyBorder="1" applyProtection="1">
      <protection hidden="1"/>
    </xf>
    <xf numFmtId="0" fontId="5" fillId="2" borderId="0" xfId="1" applyFont="1" applyFill="1" applyBorder="1" applyAlignment="1" applyProtection="1">
      <alignment horizontal="center"/>
      <protection hidden="1"/>
    </xf>
    <xf numFmtId="0" fontId="5" fillId="2" borderId="2" xfId="1" applyFont="1" applyFill="1" applyBorder="1" applyAlignment="1" applyProtection="1">
      <alignment horizontal="right"/>
      <protection hidden="1"/>
    </xf>
    <xf numFmtId="0" fontId="5" fillId="2" borderId="0" xfId="1" applyFont="1" applyFill="1" applyProtection="1">
      <protection hidden="1"/>
    </xf>
    <xf numFmtId="168" fontId="5" fillId="2" borderId="0" xfId="1" applyNumberFormat="1" applyFont="1" applyFill="1" applyAlignment="1" applyProtection="1">
      <alignment horizontal="right"/>
      <protection hidden="1"/>
    </xf>
    <xf numFmtId="0" fontId="5" fillId="2" borderId="0" xfId="1" applyFont="1" applyFill="1" applyAlignment="1" applyProtection="1">
      <alignment horizontal="left" indent="2"/>
      <protection hidden="1"/>
    </xf>
    <xf numFmtId="9" fontId="5" fillId="2" borderId="3" xfId="4" applyNumberFormat="1" applyFont="1" applyFill="1" applyBorder="1" applyAlignment="1" applyProtection="1">
      <alignment horizontal="right"/>
      <protection hidden="1"/>
    </xf>
    <xf numFmtId="9" fontId="5" fillId="2" borderId="3" xfId="0" applyNumberFormat="1" applyFont="1" applyFill="1" applyBorder="1" applyAlignment="1" applyProtection="1">
      <alignment horizontal="right"/>
      <protection hidden="1"/>
    </xf>
    <xf numFmtId="0" fontId="5" fillId="2" borderId="0" xfId="1" applyFont="1" applyFill="1" applyAlignment="1" applyProtection="1">
      <alignment horizontal="left"/>
      <protection hidden="1"/>
    </xf>
    <xf numFmtId="0" fontId="0" fillId="2" borderId="0" xfId="1" applyFont="1" applyFill="1" applyAlignment="1" applyProtection="1">
      <alignment wrapText="1"/>
      <protection hidden="1"/>
    </xf>
    <xf numFmtId="0" fontId="12" fillId="0" borderId="0" xfId="1" applyFont="1" applyProtection="1">
      <protection hidden="1"/>
    </xf>
    <xf numFmtId="0" fontId="2" fillId="2" borderId="0" xfId="1" applyFont="1" applyFill="1" applyAlignment="1" applyProtection="1">
      <alignment horizontal="justify"/>
      <protection hidden="1"/>
    </xf>
    <xf numFmtId="0" fontId="2" fillId="2" borderId="0" xfId="1" applyNumberFormat="1" applyFont="1" applyFill="1" applyAlignment="1" applyProtection="1">
      <alignment horizontal="justify"/>
      <protection hidden="1"/>
    </xf>
    <xf numFmtId="0" fontId="22" fillId="2" borderId="0" xfId="1" applyFont="1" applyFill="1" applyAlignment="1" applyProtection="1">
      <alignment horizontal="justify"/>
      <protection hidden="1"/>
    </xf>
    <xf numFmtId="0" fontId="23" fillId="3" borderId="0" xfId="1" applyFont="1" applyFill="1" applyAlignment="1" applyProtection="1">
      <alignment wrapText="1"/>
      <protection hidden="1"/>
    </xf>
    <xf numFmtId="0" fontId="23" fillId="2" borderId="0" xfId="1" applyFont="1" applyFill="1" applyAlignment="1" applyProtection="1">
      <alignment horizontal="center" wrapText="1"/>
      <protection hidden="1"/>
    </xf>
    <xf numFmtId="0" fontId="16" fillId="2" borderId="0" xfId="1" applyNumberFormat="1" applyFont="1" applyFill="1" applyAlignment="1" applyProtection="1">
      <alignment horizontal="center" wrapText="1"/>
      <protection hidden="1"/>
    </xf>
    <xf numFmtId="0" fontId="16" fillId="2" borderId="0" xfId="1" applyFont="1" applyFill="1" applyAlignment="1" applyProtection="1">
      <alignment horizontal="center" wrapText="1"/>
      <protection hidden="1"/>
    </xf>
    <xf numFmtId="165" fontId="5" fillId="2" borderId="0" xfId="1" applyNumberFormat="1" applyFont="1" applyFill="1" applyAlignment="1" applyProtection="1">
      <alignment horizontal="right" wrapText="1"/>
      <protection hidden="1"/>
    </xf>
    <xf numFmtId="0" fontId="5" fillId="2" borderId="0" xfId="1" applyFont="1" applyFill="1" applyAlignment="1" applyProtection="1">
      <alignment horizontal="right" wrapText="1"/>
      <protection hidden="1"/>
    </xf>
    <xf numFmtId="0" fontId="5" fillId="2" borderId="0" xfId="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wrapText="1"/>
      <protection hidden="1"/>
    </xf>
    <xf numFmtId="9" fontId="5" fillId="2" borderId="0" xfId="1" applyNumberFormat="1" applyFont="1" applyFill="1" applyAlignment="1" applyProtection="1">
      <alignment horizontal="right" wrapText="1"/>
      <protection hidden="1"/>
    </xf>
    <xf numFmtId="9" fontId="5" fillId="2" borderId="0" xfId="4" applyFont="1" applyFill="1" applyAlignment="1" applyProtection="1">
      <alignment horizontal="right" wrapText="1"/>
      <protection hidden="1"/>
    </xf>
    <xf numFmtId="9" fontId="5" fillId="2" borderId="0" xfId="4" applyFont="1" applyFill="1" applyBorder="1" applyAlignment="1" applyProtection="1">
      <alignment horizontal="right" wrapText="1"/>
      <protection hidden="1"/>
    </xf>
    <xf numFmtId="9" fontId="5" fillId="2" borderId="0" xfId="1" applyNumberFormat="1" applyFont="1" applyFill="1" applyBorder="1" applyAlignment="1" applyProtection="1">
      <alignment horizontal="right" wrapText="1"/>
      <protection hidden="1"/>
    </xf>
    <xf numFmtId="165" fontId="5" fillId="2" borderId="0" xfId="0" applyNumberFormat="1" applyFont="1" applyFill="1" applyAlignment="1" applyProtection="1">
      <alignment horizontal="right" vertical="top" wrapText="1"/>
      <protection hidden="1"/>
    </xf>
    <xf numFmtId="165" fontId="5" fillId="2" borderId="0" xfId="5" applyNumberFormat="1" applyFont="1" applyFill="1" applyBorder="1" applyAlignment="1" applyProtection="1">
      <alignment horizontal="right" wrapText="1"/>
      <protection hidden="1"/>
    </xf>
    <xf numFmtId="0" fontId="19" fillId="3" borderId="0" xfId="1" applyFont="1" applyFill="1" applyAlignment="1" applyProtection="1">
      <alignment horizontal="center" wrapText="1"/>
      <protection hidden="1"/>
    </xf>
    <xf numFmtId="0" fontId="19" fillId="2"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0" fontId="5" fillId="2" borderId="3" xfId="1" applyFont="1" applyFill="1" applyBorder="1" applyAlignment="1" applyProtection="1">
      <alignment horizontal="center" wrapText="1"/>
      <protection hidden="1"/>
    </xf>
    <xf numFmtId="0" fontId="5" fillId="2" borderId="4" xfId="1" applyFont="1" applyFill="1" applyBorder="1" applyAlignment="1" applyProtection="1">
      <protection hidden="1"/>
    </xf>
    <xf numFmtId="0" fontId="5" fillId="2" borderId="0" xfId="1" applyFont="1" applyFill="1" applyBorder="1" applyAlignment="1" applyProtection="1">
      <protection hidden="1"/>
    </xf>
    <xf numFmtId="0" fontId="5" fillId="2" borderId="0" xfId="1" applyFont="1" applyFill="1" applyAlignment="1" applyProtection="1">
      <alignment vertical="top" wrapText="1"/>
      <protection hidden="1"/>
    </xf>
    <xf numFmtId="0" fontId="5" fillId="2" borderId="0" xfId="1" applyFont="1" applyFill="1" applyAlignment="1" applyProtection="1">
      <protection hidden="1"/>
    </xf>
    <xf numFmtId="0" fontId="23" fillId="3" borderId="0" xfId="1" applyFont="1" applyFill="1" applyBorder="1" applyAlignment="1" applyProtection="1">
      <alignment wrapText="1"/>
      <protection hidden="1"/>
    </xf>
    <xf numFmtId="0" fontId="16" fillId="3" borderId="0" xfId="1" applyFont="1" applyFill="1" applyBorder="1" applyAlignment="1" applyProtection="1">
      <alignment horizontal="center" wrapText="1"/>
      <protection hidden="1"/>
    </xf>
    <xf numFmtId="0" fontId="23" fillId="2" borderId="0" xfId="1" applyFont="1" applyFill="1" applyBorder="1" applyAlignment="1" applyProtection="1">
      <alignment horizontal="center" wrapText="1"/>
      <protection hidden="1"/>
    </xf>
    <xf numFmtId="0" fontId="16" fillId="3" borderId="0" xfId="1" applyNumberFormat="1" applyFont="1" applyFill="1" applyBorder="1" applyAlignment="1" applyProtection="1">
      <alignment horizontal="center" wrapText="1"/>
      <protection hidden="1"/>
    </xf>
    <xf numFmtId="0" fontId="16" fillId="2" borderId="0" xfId="1" applyNumberFormat="1" applyFont="1" applyFill="1" applyBorder="1" applyAlignment="1" applyProtection="1">
      <alignment horizontal="center" wrapText="1"/>
      <protection hidden="1"/>
    </xf>
    <xf numFmtId="0" fontId="16" fillId="2" borderId="0" xfId="1" applyFont="1" applyFill="1" applyBorder="1" applyAlignment="1" applyProtection="1">
      <alignment horizontal="center" wrapText="1"/>
      <protection hidden="1"/>
    </xf>
    <xf numFmtId="0" fontId="5" fillId="2" borderId="0" xfId="1" applyFont="1" applyFill="1" applyBorder="1" applyAlignment="1" applyProtection="1">
      <alignment horizontal="center" wrapText="1"/>
      <protection hidden="1"/>
    </xf>
    <xf numFmtId="165" fontId="5" fillId="2" borderId="1" xfId="1" applyNumberFormat="1" applyFont="1" applyFill="1" applyBorder="1" applyAlignment="1" applyProtection="1">
      <alignment horizontal="right" wrapText="1"/>
      <protection hidden="1"/>
    </xf>
    <xf numFmtId="10" fontId="5" fillId="2" borderId="1" xfId="1" applyNumberFormat="1" applyFont="1" applyFill="1" applyBorder="1" applyAlignment="1" applyProtection="1">
      <alignment horizontal="right" wrapText="1"/>
      <protection hidden="1"/>
    </xf>
    <xf numFmtId="0" fontId="34" fillId="2" borderId="0" xfId="1" applyFont="1" applyFill="1" applyAlignment="1" applyProtection="1">
      <alignment horizontal="left" wrapText="1"/>
      <protection hidden="1"/>
    </xf>
    <xf numFmtId="164" fontId="5" fillId="2" borderId="0" xfId="1" applyNumberFormat="1" applyFont="1" applyFill="1" applyAlignment="1" applyProtection="1">
      <alignment horizontal="right" wrapText="1"/>
      <protection hidden="1"/>
    </xf>
    <xf numFmtId="164" fontId="5" fillId="2" borderId="0" xfId="1" applyNumberFormat="1" applyFont="1" applyFill="1" applyBorder="1" applyAlignment="1" applyProtection="1">
      <alignment horizontal="right" wrapText="1"/>
      <protection hidden="1"/>
    </xf>
    <xf numFmtId="0" fontId="34" fillId="2" borderId="1" xfId="1" applyFont="1" applyFill="1" applyBorder="1" applyAlignment="1" applyProtection="1">
      <alignment horizontal="left" wrapText="1"/>
      <protection hidden="1"/>
    </xf>
    <xf numFmtId="164"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right" wrapText="1"/>
      <protection hidden="1"/>
    </xf>
    <xf numFmtId="9" fontId="5" fillId="2" borderId="1" xfId="1" applyNumberFormat="1" applyFont="1" applyFill="1" applyBorder="1" applyAlignment="1" applyProtection="1">
      <alignment horizontal="center" wrapText="1"/>
      <protection hidden="1"/>
    </xf>
    <xf numFmtId="168" fontId="5" fillId="2" borderId="1" xfId="1" applyNumberFormat="1" applyFont="1" applyFill="1" applyBorder="1" applyAlignment="1" applyProtection="1">
      <alignment horizontal="right" wrapText="1"/>
      <protection hidden="1"/>
    </xf>
    <xf numFmtId="165" fontId="5" fillId="2" borderId="3" xfId="1" applyNumberFormat="1" applyFont="1" applyFill="1" applyBorder="1" applyAlignment="1" applyProtection="1">
      <alignment horizontal="right" wrapText="1"/>
      <protection hidden="1"/>
    </xf>
    <xf numFmtId="0" fontId="5" fillId="0" borderId="0" xfId="1" applyFont="1" applyProtection="1">
      <protection hidden="1"/>
    </xf>
    <xf numFmtId="0" fontId="4" fillId="2" borderId="0" xfId="1" applyFont="1" applyFill="1" applyAlignment="1" applyProtection="1">
      <alignment wrapText="1"/>
      <protection hidden="1"/>
    </xf>
    <xf numFmtId="0" fontId="16" fillId="3"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10" fontId="5" fillId="2" borderId="1" xfId="4" applyNumberFormat="1" applyFont="1" applyFill="1" applyBorder="1" applyAlignment="1" applyProtection="1">
      <alignment horizontal="right" wrapText="1"/>
      <protection hidden="1"/>
    </xf>
    <xf numFmtId="0" fontId="4" fillId="2" borderId="4" xfId="1" applyFont="1" applyFill="1" applyBorder="1" applyAlignment="1" applyProtection="1">
      <alignment vertical="top" wrapText="1"/>
      <protection hidden="1"/>
    </xf>
    <xf numFmtId="0" fontId="5" fillId="2" borderId="5" xfId="1" applyFont="1" applyFill="1" applyBorder="1" applyAlignment="1" applyProtection="1">
      <alignment vertical="top" wrapText="1"/>
      <protection hidden="1"/>
    </xf>
    <xf numFmtId="0" fontId="5" fillId="2" borderId="5" xfId="1" applyFont="1" applyFill="1" applyBorder="1" applyAlignment="1" applyProtection="1">
      <alignment horizontal="center" vertical="top" wrapText="1"/>
      <protection hidden="1"/>
    </xf>
    <xf numFmtId="165" fontId="5" fillId="2" borderId="2" xfId="1" applyNumberFormat="1" applyFont="1" applyFill="1" applyBorder="1" applyAlignment="1" applyProtection="1">
      <alignment wrapText="1"/>
      <protection hidden="1"/>
    </xf>
    <xf numFmtId="0" fontId="16" fillId="3" borderId="0" xfId="1" applyFont="1" applyFill="1" applyAlignment="1" applyProtection="1">
      <alignment vertical="top" wrapText="1"/>
      <protection hidden="1"/>
    </xf>
    <xf numFmtId="0" fontId="16" fillId="3" borderId="0" xfId="1" applyFont="1" applyFill="1" applyAlignment="1" applyProtection="1">
      <alignment horizontal="center" vertical="top" wrapText="1"/>
      <protection hidden="1"/>
    </xf>
    <xf numFmtId="0" fontId="19" fillId="2" borderId="0" xfId="1" applyFont="1" applyFill="1" applyBorder="1" applyAlignment="1" applyProtection="1">
      <alignment horizontal="right" vertical="top" wrapText="1"/>
      <protection hidden="1"/>
    </xf>
    <xf numFmtId="0" fontId="4" fillId="2" borderId="2" xfId="1" applyFont="1" applyFill="1" applyBorder="1" applyAlignment="1" applyProtection="1">
      <alignment horizontal="left" wrapText="1"/>
      <protection hidden="1"/>
    </xf>
    <xf numFmtId="165" fontId="4" fillId="2" borderId="2"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wrapText="1"/>
      <protection hidden="1"/>
    </xf>
    <xf numFmtId="165" fontId="4" fillId="2" borderId="0" xfId="1" applyNumberFormat="1" applyFont="1" applyFill="1" applyBorder="1" applyAlignment="1" applyProtection="1">
      <alignment horizontal="right" wrapText="1"/>
      <protection hidden="1"/>
    </xf>
    <xf numFmtId="0" fontId="4" fillId="2" borderId="0" xfId="1" applyFont="1" applyFill="1" applyBorder="1" applyAlignment="1" applyProtection="1">
      <alignment horizontal="left" wrapText="1"/>
      <protection hidden="1"/>
    </xf>
    <xf numFmtId="165" fontId="4" fillId="2" borderId="0" xfId="5" applyNumberFormat="1" applyFont="1" applyFill="1" applyBorder="1" applyAlignment="1" applyProtection="1">
      <alignment horizontal="right" wrapText="1"/>
      <protection hidden="1"/>
    </xf>
    <xf numFmtId="0" fontId="4" fillId="2" borderId="3" xfId="1" applyFont="1" applyFill="1" applyBorder="1" applyAlignment="1" applyProtection="1">
      <alignment horizontal="left" wrapText="1"/>
      <protection hidden="1"/>
    </xf>
    <xf numFmtId="165" fontId="4" fillId="2" borderId="6" xfId="1" applyNumberFormat="1" applyFont="1" applyFill="1" applyBorder="1" applyAlignment="1" applyProtection="1">
      <alignment horizontal="right" wrapText="1"/>
      <protection hidden="1"/>
    </xf>
    <xf numFmtId="0" fontId="3" fillId="2" borderId="0" xfId="1" applyFont="1" applyFill="1" applyProtection="1">
      <protection hidden="1"/>
    </xf>
    <xf numFmtId="0" fontId="4" fillId="2" borderId="1" xfId="1" applyFont="1" applyFill="1" applyBorder="1" applyAlignment="1" applyProtection="1">
      <alignment wrapText="1"/>
      <protection hidden="1"/>
    </xf>
    <xf numFmtId="169" fontId="4" fillId="2" borderId="1" xfId="1" applyNumberFormat="1" applyFont="1" applyFill="1" applyBorder="1" applyAlignment="1" applyProtection="1">
      <alignment horizontal="right" wrapText="1"/>
      <protection hidden="1"/>
    </xf>
    <xf numFmtId="169" fontId="4" fillId="2" borderId="0" xfId="1" applyNumberFormat="1" applyFont="1" applyFill="1" applyBorder="1" applyAlignment="1" applyProtection="1">
      <alignment horizontal="right" wrapText="1"/>
      <protection hidden="1"/>
    </xf>
    <xf numFmtId="169" fontId="5" fillId="2" borderId="0" xfId="1" applyNumberFormat="1" applyFont="1" applyFill="1" applyAlignment="1" applyProtection="1">
      <alignment horizontal="right" wrapText="1"/>
      <protection hidden="1"/>
    </xf>
    <xf numFmtId="169" fontId="5" fillId="2" borderId="0" xfId="1" applyNumberFormat="1" applyFont="1" applyFill="1" applyBorder="1" applyAlignment="1" applyProtection="1">
      <alignment horizontal="right" wrapText="1"/>
      <protection hidden="1"/>
    </xf>
    <xf numFmtId="169" fontId="3" fillId="2" borderId="0" xfId="1" applyNumberFormat="1" applyFont="1" applyFill="1" applyBorder="1" applyAlignment="1" applyProtection="1">
      <alignment horizontal="right" wrapText="1"/>
      <protection hidden="1"/>
    </xf>
    <xf numFmtId="0" fontId="5" fillId="0" borderId="0" xfId="1" applyFont="1" applyAlignment="1" applyProtection="1">
      <alignment horizontal="left" wrapText="1" indent="1"/>
      <protection hidden="1"/>
    </xf>
    <xf numFmtId="169" fontId="5" fillId="2" borderId="1" xfId="1" applyNumberFormat="1" applyFont="1" applyFill="1" applyBorder="1" applyAlignment="1" applyProtection="1">
      <alignment horizontal="right" wrapText="1"/>
      <protection hidden="1"/>
    </xf>
    <xf numFmtId="0" fontId="4" fillId="2" borderId="1" xfId="1" applyFont="1" applyFill="1" applyBorder="1" applyAlignment="1" applyProtection="1">
      <alignment vertical="top" wrapText="1"/>
      <protection hidden="1"/>
    </xf>
    <xf numFmtId="169" fontId="5" fillId="2" borderId="0" xfId="1" applyNumberFormat="1" applyFont="1" applyFill="1" applyBorder="1" applyAlignment="1" applyProtection="1">
      <alignment horizontal="right" vertical="top" wrapText="1"/>
      <protection hidden="1"/>
    </xf>
    <xf numFmtId="169" fontId="5" fillId="2" borderId="0" xfId="1" applyNumberFormat="1" applyFont="1" applyFill="1" applyAlignment="1" applyProtection="1">
      <alignment horizontal="right" vertical="top" wrapText="1"/>
      <protection hidden="1"/>
    </xf>
    <xf numFmtId="0" fontId="4" fillId="2" borderId="0" xfId="1" applyFont="1" applyFill="1" applyAlignment="1" applyProtection="1">
      <alignment vertical="top" wrapText="1"/>
      <protection hidden="1"/>
    </xf>
    <xf numFmtId="170" fontId="5" fillId="2" borderId="0" xfId="1" applyNumberFormat="1" applyFont="1" applyFill="1" applyAlignment="1" applyProtection="1">
      <alignment horizontal="right" wrapText="1"/>
      <protection hidden="1"/>
    </xf>
    <xf numFmtId="0" fontId="4" fillId="2" borderId="6" xfId="1" applyFont="1" applyFill="1" applyBorder="1" applyAlignment="1" applyProtection="1">
      <alignment wrapText="1"/>
      <protection hidden="1"/>
    </xf>
    <xf numFmtId="169" fontId="4" fillId="2" borderId="3" xfId="1" applyNumberFormat="1" applyFont="1" applyFill="1" applyBorder="1" applyAlignment="1" applyProtection="1">
      <alignment horizontal="right" wrapText="1"/>
      <protection hidden="1"/>
    </xf>
    <xf numFmtId="0" fontId="5" fillId="2" borderId="0" xfId="1" applyFont="1" applyFill="1" applyBorder="1" applyAlignment="1" applyProtection="1">
      <alignment horizontal="left" wrapText="1"/>
      <protection hidden="1"/>
    </xf>
    <xf numFmtId="0" fontId="16" fillId="3" borderId="0" xfId="1" applyFont="1" applyFill="1" applyAlignment="1" applyProtection="1">
      <alignment horizontal="center" textRotation="90" wrapText="1"/>
      <protection hidden="1"/>
    </xf>
    <xf numFmtId="172" fontId="5" fillId="2" borderId="0" xfId="1" applyNumberFormat="1" applyFont="1" applyFill="1" applyAlignment="1" applyProtection="1">
      <alignment horizontal="right" wrapText="1"/>
      <protection hidden="1"/>
    </xf>
    <xf numFmtId="172" fontId="5" fillId="2" borderId="3" xfId="1" applyNumberFormat="1" applyFont="1" applyFill="1" applyBorder="1" applyAlignment="1" applyProtection="1">
      <alignment horizontal="right" wrapText="1"/>
      <protection hidden="1"/>
    </xf>
    <xf numFmtId="0" fontId="12" fillId="2" borderId="0" xfId="1" applyFont="1" applyFill="1" applyAlignment="1" applyProtection="1">
      <alignment horizontal="left" wrapText="1"/>
      <protection hidden="1"/>
    </xf>
    <xf numFmtId="0" fontId="16" fillId="3" borderId="0" xfId="1" applyFont="1" applyFill="1" applyAlignment="1" applyProtection="1">
      <alignment horizontal="center" vertical="center" textRotation="90" wrapText="1"/>
      <protection hidden="1"/>
    </xf>
    <xf numFmtId="0" fontId="5" fillId="2" borderId="7" xfId="1" applyFont="1" applyFill="1" applyBorder="1" applyAlignment="1" applyProtection="1">
      <alignment horizontal="left" vertical="top" wrapText="1" indent="1"/>
      <protection hidden="1"/>
    </xf>
    <xf numFmtId="0" fontId="5" fillId="2" borderId="8" xfId="1" applyFont="1" applyFill="1" applyBorder="1" applyAlignment="1" applyProtection="1">
      <alignment horizontal="center" vertical="top" wrapText="1"/>
      <protection hidden="1"/>
    </xf>
    <xf numFmtId="9" fontId="5" fillId="2" borderId="8" xfId="1" applyNumberFormat="1" applyFont="1" applyFill="1" applyBorder="1" applyAlignment="1" applyProtection="1">
      <alignment horizontal="center" vertical="top" wrapText="1"/>
      <protection hidden="1"/>
    </xf>
    <xf numFmtId="0" fontId="5" fillId="2" borderId="0" xfId="1" applyFont="1" applyFill="1" applyBorder="1" applyAlignment="1" applyProtection="1">
      <alignment horizontal="center" vertical="top" wrapText="1"/>
      <protection hidden="1"/>
    </xf>
    <xf numFmtId="0" fontId="5" fillId="2" borderId="0" xfId="1" applyFont="1" applyFill="1" applyBorder="1" applyAlignment="1" applyProtection="1">
      <alignment horizontal="left" vertical="top" wrapText="1" indent="1"/>
      <protection hidden="1"/>
    </xf>
    <xf numFmtId="9" fontId="5" fillId="2" borderId="0" xfId="1" applyNumberFormat="1" applyFont="1" applyFill="1" applyBorder="1" applyAlignment="1" applyProtection="1">
      <alignment horizontal="center" vertical="top" wrapText="1"/>
      <protection hidden="1"/>
    </xf>
    <xf numFmtId="0" fontId="5" fillId="2" borderId="9" xfId="1" applyFont="1" applyFill="1" applyBorder="1" applyAlignment="1" applyProtection="1">
      <alignment horizontal="left" vertical="top" wrapText="1" indent="1"/>
      <protection hidden="1"/>
    </xf>
    <xf numFmtId="0" fontId="5" fillId="2" borderId="8" xfId="1" applyFont="1" applyFill="1" applyBorder="1" applyAlignment="1" applyProtection="1">
      <alignment horizontal="left" vertical="top" wrapText="1" indent="1"/>
      <protection hidden="1"/>
    </xf>
    <xf numFmtId="0" fontId="5" fillId="0" borderId="0" xfId="1" applyFont="1" applyBorder="1" applyAlignment="1" applyProtection="1">
      <alignment horizontal="left" vertical="top" wrapText="1" indent="1"/>
      <protection hidden="1"/>
    </xf>
    <xf numFmtId="0" fontId="5" fillId="2" borderId="7" xfId="1" applyFont="1" applyFill="1" applyBorder="1" applyAlignment="1" applyProtection="1">
      <alignment horizontal="center" vertical="top" wrapText="1"/>
      <protection hidden="1"/>
    </xf>
    <xf numFmtId="0" fontId="5" fillId="2" borderId="9" xfId="1" applyFont="1" applyFill="1" applyBorder="1" applyAlignment="1" applyProtection="1">
      <alignment horizontal="center" vertical="top" wrapText="1"/>
      <protection hidden="1"/>
    </xf>
    <xf numFmtId="0" fontId="5" fillId="2" borderId="4" xfId="0" applyFont="1" applyFill="1" applyBorder="1" applyAlignment="1" applyProtection="1">
      <alignment horizontal="left" vertical="top" wrapText="1" indent="1"/>
      <protection hidden="1"/>
    </xf>
    <xf numFmtId="0" fontId="5" fillId="2" borderId="4" xfId="0" applyFont="1" applyFill="1" applyBorder="1" applyAlignment="1" applyProtection="1">
      <alignment horizontal="center" vertical="top" wrapText="1"/>
      <protection hidden="1"/>
    </xf>
    <xf numFmtId="0" fontId="5" fillId="2" borderId="0" xfId="1" applyFont="1" applyFill="1" applyAlignment="1" applyProtection="1">
      <alignment horizontal="left" vertical="top" wrapText="1" indent="1"/>
      <protection hidden="1"/>
    </xf>
    <xf numFmtId="0" fontId="5" fillId="2" borderId="10" xfId="1" applyFont="1" applyFill="1" applyBorder="1" applyAlignment="1" applyProtection="1">
      <alignment horizontal="left" vertical="top" wrapText="1" indent="1"/>
      <protection hidden="1"/>
    </xf>
    <xf numFmtId="0" fontId="5" fillId="2" borderId="10" xfId="1" applyFont="1" applyFill="1" applyBorder="1" applyAlignment="1" applyProtection="1">
      <alignment horizontal="center" vertical="top" wrapText="1"/>
      <protection hidden="1"/>
    </xf>
    <xf numFmtId="9" fontId="5" fillId="0" borderId="10" xfId="1" applyNumberFormat="1" applyFont="1" applyBorder="1" applyAlignment="1" applyProtection="1">
      <alignment horizontal="center"/>
      <protection hidden="1"/>
    </xf>
    <xf numFmtId="0" fontId="5" fillId="2" borderId="11" xfId="1" applyFont="1" applyFill="1" applyBorder="1" applyAlignment="1" applyProtection="1">
      <alignment horizontal="left" vertical="top" wrapText="1" indent="1"/>
      <protection hidden="1"/>
    </xf>
    <xf numFmtId="0" fontId="5" fillId="2" borderId="11" xfId="1" applyFont="1" applyFill="1" applyBorder="1" applyAlignment="1" applyProtection="1">
      <alignment horizontal="center" vertical="top" wrapText="1"/>
      <protection hidden="1"/>
    </xf>
    <xf numFmtId="9" fontId="5" fillId="2" borderId="11" xfId="1" applyNumberFormat="1" applyFont="1" applyFill="1" applyBorder="1" applyAlignment="1" applyProtection="1">
      <alignment horizontal="center" vertical="top" wrapText="1"/>
      <protection hidden="1"/>
    </xf>
    <xf numFmtId="0" fontId="5" fillId="2" borderId="3" xfId="1" applyFont="1" applyFill="1" applyBorder="1" applyAlignment="1" applyProtection="1">
      <alignment horizontal="left" vertical="top" wrapText="1" indent="1"/>
      <protection hidden="1"/>
    </xf>
    <xf numFmtId="0" fontId="5" fillId="2" borderId="3" xfId="1" applyFont="1" applyFill="1" applyBorder="1" applyAlignment="1" applyProtection="1">
      <alignment horizontal="center" vertical="top" wrapText="1"/>
      <protection hidden="1"/>
    </xf>
    <xf numFmtId="0" fontId="5" fillId="2" borderId="3" xfId="1" applyFont="1" applyFill="1" applyBorder="1" applyAlignment="1" applyProtection="1">
      <alignment horizontal="left" vertical="top" wrapText="1"/>
      <protection hidden="1"/>
    </xf>
    <xf numFmtId="9" fontId="5" fillId="2" borderId="10" xfId="1" applyNumberFormat="1" applyFont="1" applyFill="1" applyBorder="1" applyAlignment="1" applyProtection="1">
      <alignment horizontal="center" vertical="top" wrapText="1"/>
      <protection hidden="1"/>
    </xf>
    <xf numFmtId="0" fontId="5" fillId="2" borderId="5" xfId="1" applyFont="1" applyFill="1" applyBorder="1" applyAlignment="1" applyProtection="1">
      <alignment horizontal="left" vertical="top" wrapText="1" indent="1"/>
      <protection hidden="1"/>
    </xf>
    <xf numFmtId="9" fontId="5" fillId="2" borderId="3" xfId="1" applyNumberFormat="1" applyFont="1" applyFill="1" applyBorder="1" applyAlignment="1" applyProtection="1">
      <alignment horizontal="center" vertical="top" wrapText="1"/>
      <protection hidden="1"/>
    </xf>
    <xf numFmtId="0" fontId="4" fillId="2" borderId="4" xfId="1" applyFont="1" applyFill="1" applyBorder="1" applyAlignment="1" applyProtection="1">
      <alignment horizontal="left" vertical="top" wrapText="1"/>
      <protection hidden="1"/>
    </xf>
    <xf numFmtId="0" fontId="5" fillId="2" borderId="0" xfId="1" applyFont="1" applyFill="1" applyAlignment="1" applyProtection="1">
      <alignment horizontal="center" vertical="top" wrapText="1"/>
      <protection hidden="1"/>
    </xf>
    <xf numFmtId="9" fontId="5" fillId="2" borderId="5" xfId="1" applyNumberFormat="1" applyFont="1" applyFill="1" applyBorder="1" applyAlignment="1" applyProtection="1">
      <alignment horizontal="center" vertical="top" wrapText="1"/>
      <protection hidden="1"/>
    </xf>
    <xf numFmtId="0" fontId="5" fillId="2" borderId="0" xfId="1" applyFont="1" applyFill="1" applyAlignment="1" applyProtection="1">
      <alignment horizontal="left" vertical="top" wrapText="1"/>
      <protection hidden="1"/>
    </xf>
    <xf numFmtId="0" fontId="3" fillId="2" borderId="0" xfId="1" applyFont="1" applyFill="1" applyBorder="1" applyAlignment="1" applyProtection="1">
      <protection hidden="1"/>
    </xf>
    <xf numFmtId="0" fontId="4" fillId="2" borderId="0" xfId="1" applyFont="1" applyFill="1" applyBorder="1" applyAlignment="1" applyProtection="1">
      <alignment horizontal="center" wrapText="1"/>
      <protection hidden="1"/>
    </xf>
    <xf numFmtId="165" fontId="5" fillId="2" borderId="0" xfId="5" applyNumberFormat="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166" fontId="5" fillId="2" borderId="0" xfId="5" applyNumberFormat="1" applyFont="1" applyFill="1" applyBorder="1" applyAlignment="1" applyProtection="1">
      <alignment horizontal="center" wrapText="1"/>
      <protection hidden="1"/>
    </xf>
    <xf numFmtId="165" fontId="4" fillId="2" borderId="0" xfId="5" applyNumberFormat="1" applyFont="1" applyFill="1" applyBorder="1" applyAlignment="1" applyProtection="1">
      <alignment horizontal="center" wrapText="1"/>
      <protection hidden="1"/>
    </xf>
    <xf numFmtId="0" fontId="4" fillId="2" borderId="0" xfId="1" applyFont="1" applyFill="1" applyAlignment="1" applyProtection="1">
      <alignment horizontal="center" wrapText="1"/>
      <protection hidden="1"/>
    </xf>
    <xf numFmtId="4" fontId="5" fillId="2" borderId="0" xfId="5" applyNumberFormat="1" applyFont="1" applyFill="1" applyBorder="1" applyAlignment="1" applyProtection="1">
      <alignment horizontal="right" wrapText="1"/>
      <protection hidden="1"/>
    </xf>
    <xf numFmtId="4" fontId="5" fillId="2" borderId="0" xfId="1" applyNumberFormat="1" applyFont="1" applyFill="1" applyBorder="1" applyAlignment="1" applyProtection="1">
      <alignment horizontal="right" wrapText="1"/>
      <protection hidden="1"/>
    </xf>
    <xf numFmtId="0" fontId="5" fillId="2" borderId="3" xfId="1" applyFont="1" applyFill="1" applyBorder="1" applyAlignment="1" applyProtection="1">
      <alignment horizontal="right" wrapText="1"/>
      <protection hidden="1"/>
    </xf>
    <xf numFmtId="2" fontId="5" fillId="2" borderId="0" xfId="1" applyNumberFormat="1" applyFont="1" applyFill="1" applyBorder="1" applyAlignment="1" applyProtection="1">
      <alignment horizontal="center" wrapText="1"/>
      <protection hidden="1"/>
    </xf>
    <xf numFmtId="4" fontId="5" fillId="2" borderId="3" xfId="1" applyNumberFormat="1" applyFont="1" applyFill="1" applyBorder="1" applyAlignment="1" applyProtection="1">
      <alignment horizontal="right" wrapText="1"/>
      <protection hidden="1"/>
    </xf>
    <xf numFmtId="0" fontId="19" fillId="3" borderId="0" xfId="1" applyFont="1" applyFill="1" applyProtection="1">
      <protection hidden="1"/>
    </xf>
    <xf numFmtId="0" fontId="16" fillId="3" borderId="0" xfId="1" applyFont="1" applyFill="1" applyProtection="1">
      <protection hidden="1"/>
    </xf>
    <xf numFmtId="170" fontId="5" fillId="2" borderId="0" xfId="1" applyNumberFormat="1" applyFont="1" applyFill="1" applyBorder="1" applyAlignment="1" applyProtection="1">
      <alignment horizontal="right" wrapText="1"/>
      <protection hidden="1"/>
    </xf>
    <xf numFmtId="0" fontId="4" fillId="2" borderId="1" xfId="1" applyFont="1" applyFill="1" applyBorder="1" applyAlignment="1" applyProtection="1">
      <alignment horizontal="left" wrapText="1" indent="1"/>
      <protection hidden="1"/>
    </xf>
    <xf numFmtId="170" fontId="4" fillId="2" borderId="1" xfId="1" applyNumberFormat="1" applyFont="1" applyFill="1" applyBorder="1" applyAlignment="1" applyProtection="1">
      <alignment horizontal="right" wrapText="1"/>
      <protection hidden="1"/>
    </xf>
    <xf numFmtId="170" fontId="4" fillId="2" borderId="0" xfId="1" applyNumberFormat="1" applyFont="1" applyFill="1" applyBorder="1" applyAlignment="1" applyProtection="1">
      <alignment horizontal="right" wrapText="1"/>
      <protection hidden="1"/>
    </xf>
    <xf numFmtId="0" fontId="4" fillId="2" borderId="0" xfId="1" applyFont="1" applyFill="1" applyBorder="1" applyAlignment="1" applyProtection="1">
      <alignment horizontal="left" wrapText="1" indent="1"/>
      <protection hidden="1"/>
    </xf>
    <xf numFmtId="0" fontId="4" fillId="2" borderId="3" xfId="1" applyFont="1" applyFill="1" applyBorder="1" applyAlignment="1" applyProtection="1">
      <alignment horizontal="left" wrapText="1" indent="1"/>
      <protection hidden="1"/>
    </xf>
    <xf numFmtId="170" fontId="4" fillId="2" borderId="3" xfId="1" applyNumberFormat="1" applyFont="1" applyFill="1" applyBorder="1" applyAlignment="1" applyProtection="1">
      <alignment horizontal="right" wrapText="1"/>
      <protection hidden="1"/>
    </xf>
    <xf numFmtId="0" fontId="5" fillId="2" borderId="8" xfId="1" applyFont="1" applyFill="1" applyBorder="1" applyAlignment="1" applyProtection="1">
      <alignment vertical="top" wrapText="1"/>
      <protection hidden="1"/>
    </xf>
    <xf numFmtId="0" fontId="5" fillId="2" borderId="3" xfId="1" applyFont="1" applyFill="1" applyBorder="1" applyAlignment="1" applyProtection="1">
      <alignment vertical="top" wrapText="1"/>
      <protection hidden="1"/>
    </xf>
    <xf numFmtId="2" fontId="4" fillId="2" borderId="1" xfId="1" applyNumberFormat="1" applyFont="1" applyFill="1" applyBorder="1" applyAlignment="1" applyProtection="1">
      <alignment horizontal="right" wrapText="1"/>
      <protection hidden="1"/>
    </xf>
    <xf numFmtId="2" fontId="4" fillId="2" borderId="0" xfId="1" applyNumberFormat="1" applyFont="1" applyFill="1" applyBorder="1" applyAlignment="1" applyProtection="1">
      <alignment horizontal="right" wrapText="1"/>
      <protection hidden="1"/>
    </xf>
    <xf numFmtId="2" fontId="4" fillId="2" borderId="3" xfId="1" applyNumberFormat="1" applyFont="1" applyFill="1" applyBorder="1" applyAlignment="1" applyProtection="1">
      <alignment horizontal="right" wrapText="1"/>
      <protection hidden="1"/>
    </xf>
    <xf numFmtId="0" fontId="28" fillId="2" borderId="0" xfId="1" applyFont="1" applyFill="1" applyBorder="1" applyAlignment="1" applyProtection="1">
      <alignment horizontal="left"/>
      <protection hidden="1"/>
    </xf>
    <xf numFmtId="0" fontId="28" fillId="0" borderId="0" xfId="1" applyFont="1" applyAlignment="1" applyProtection="1">
      <alignment horizontal="left"/>
      <protection hidden="1"/>
    </xf>
    <xf numFmtId="0" fontId="5" fillId="2" borderId="0" xfId="1" applyFont="1" applyFill="1" applyBorder="1" applyAlignment="1" applyProtection="1">
      <alignment horizontal="right" vertical="top" wrapText="1"/>
      <protection hidden="1"/>
    </xf>
    <xf numFmtId="4" fontId="4" fillId="2" borderId="2" xfId="5" applyNumberFormat="1" applyFont="1" applyFill="1" applyBorder="1" applyAlignment="1" applyProtection="1">
      <alignment horizontal="right" wrapText="1"/>
      <protection hidden="1"/>
    </xf>
    <xf numFmtId="0" fontId="4" fillId="2" borderId="0" xfId="1" applyFont="1" applyFill="1" applyBorder="1" applyAlignment="1" applyProtection="1">
      <alignment horizontal="right" vertical="top" wrapText="1"/>
      <protection hidden="1"/>
    </xf>
    <xf numFmtId="0" fontId="5" fillId="2" borderId="0" xfId="1" applyFont="1" applyFill="1" applyAlignment="1" applyProtection="1">
      <alignment horizontal="right" vertical="top" wrapText="1"/>
      <protection hidden="1"/>
    </xf>
    <xf numFmtId="4" fontId="5" fillId="2" borderId="0" xfId="1" applyNumberFormat="1" applyFont="1" applyFill="1" applyAlignment="1" applyProtection="1">
      <alignment horizontal="right" wrapText="1"/>
      <protection hidden="1"/>
    </xf>
    <xf numFmtId="0" fontId="5" fillId="2" borderId="3" xfId="1" applyFont="1" applyFill="1" applyBorder="1" applyAlignment="1" applyProtection="1">
      <alignment horizontal="right" vertical="top" wrapText="1"/>
      <protection hidden="1"/>
    </xf>
    <xf numFmtId="4" fontId="4" fillId="2" borderId="6" xfId="1" applyNumberFormat="1" applyFont="1" applyFill="1" applyBorder="1" applyAlignment="1" applyProtection="1">
      <alignment horizontal="right" wrapText="1"/>
      <protection hidden="1"/>
    </xf>
    <xf numFmtId="165" fontId="5" fillId="2" borderId="0" xfId="1" applyNumberFormat="1" applyFont="1" applyFill="1" applyBorder="1" applyAlignment="1" applyProtection="1">
      <alignment horizontal="right" vertical="top" wrapText="1"/>
      <protection hidden="1"/>
    </xf>
    <xf numFmtId="0" fontId="12" fillId="0" borderId="0" xfId="1" applyFont="1" applyAlignment="1" applyProtection="1">
      <alignment horizontal="left"/>
      <protection hidden="1"/>
    </xf>
    <xf numFmtId="0" fontId="5" fillId="2" borderId="2" xfId="1" applyFont="1" applyFill="1" applyBorder="1" applyAlignment="1" applyProtection="1">
      <alignment horizontal="right" wrapText="1"/>
      <protection hidden="1"/>
    </xf>
    <xf numFmtId="0" fontId="5" fillId="2" borderId="1" xfId="1" applyFont="1" applyFill="1" applyBorder="1" applyAlignment="1" applyProtection="1">
      <alignment horizontal="right" wrapText="1"/>
      <protection hidden="1"/>
    </xf>
    <xf numFmtId="0" fontId="5" fillId="2" borderId="2" xfId="1" applyFont="1" applyFill="1" applyBorder="1" applyAlignment="1" applyProtection="1">
      <alignment horizontal="left" wrapText="1" indent="1"/>
      <protection hidden="1"/>
    </xf>
    <xf numFmtId="0" fontId="4" fillId="2" borderId="1" xfId="1" applyFont="1" applyFill="1" applyBorder="1" applyAlignment="1" applyProtection="1">
      <alignment horizontal="left" wrapText="1" indent="2"/>
      <protection hidden="1"/>
    </xf>
    <xf numFmtId="0" fontId="12" fillId="2" borderId="0" xfId="1" applyFont="1" applyFill="1" applyAlignment="1" applyProtection="1">
      <alignment horizontal="left"/>
      <protection hidden="1"/>
    </xf>
    <xf numFmtId="0" fontId="5" fillId="2" borderId="0" xfId="1" applyFont="1" applyFill="1" applyAlignment="1" applyProtection="1">
      <alignment horizontal="left" wrapText="1" indent="2"/>
      <protection hidden="1"/>
    </xf>
    <xf numFmtId="0" fontId="4" fillId="2" borderId="3" xfId="1" applyFont="1" applyFill="1" applyBorder="1" applyAlignment="1" applyProtection="1">
      <alignment horizontal="left" wrapText="1" indent="2"/>
      <protection hidden="1"/>
    </xf>
    <xf numFmtId="0" fontId="4" fillId="2" borderId="3" xfId="1" applyFont="1" applyFill="1" applyBorder="1" applyAlignment="1" applyProtection="1">
      <alignment horizontal="right" wrapText="1"/>
      <protection hidden="1"/>
    </xf>
    <xf numFmtId="0" fontId="4" fillId="2" borderId="0" xfId="1" applyFont="1" applyFill="1" applyBorder="1" applyAlignment="1" applyProtection="1">
      <alignment vertical="top" wrapText="1"/>
      <protection hidden="1"/>
    </xf>
    <xf numFmtId="165" fontId="4" fillId="2" borderId="3" xfId="1" applyNumberFormat="1" applyFont="1" applyFill="1" applyBorder="1" applyAlignment="1" applyProtection="1">
      <alignment horizontal="right" wrapText="1"/>
      <protection hidden="1"/>
    </xf>
    <xf numFmtId="0" fontId="16" fillId="3" borderId="0" xfId="1" applyFont="1" applyFill="1" applyAlignment="1" applyProtection="1">
      <alignment horizontal="justify" vertical="top" wrapText="1"/>
      <protection hidden="1"/>
    </xf>
    <xf numFmtId="3" fontId="5" fillId="2" borderId="0" xfId="1" applyNumberFormat="1" applyFont="1" applyFill="1" applyAlignment="1" applyProtection="1">
      <alignment horizontal="right" wrapText="1"/>
      <protection hidden="1"/>
    </xf>
    <xf numFmtId="0" fontId="26" fillId="2" borderId="0" xfId="1" applyFont="1" applyFill="1" applyProtection="1">
      <protection hidden="1"/>
    </xf>
    <xf numFmtId="0" fontId="5" fillId="2" borderId="0" xfId="1" applyFont="1" applyFill="1" applyBorder="1" applyAlignment="1" applyProtection="1">
      <alignment vertical="top" wrapText="1"/>
      <protection hidden="1"/>
    </xf>
    <xf numFmtId="0" fontId="5" fillId="2" borderId="1" xfId="1" applyFont="1" applyFill="1" applyBorder="1" applyAlignment="1" applyProtection="1">
      <alignment vertical="top" wrapText="1"/>
      <protection hidden="1"/>
    </xf>
    <xf numFmtId="0" fontId="5" fillId="2" borderId="1" xfId="1" applyFont="1" applyFill="1" applyBorder="1" applyAlignment="1" applyProtection="1">
      <alignment horizontal="center" vertical="top" wrapText="1"/>
      <protection hidden="1"/>
    </xf>
    <xf numFmtId="0" fontId="5" fillId="2" borderId="10" xfId="1" applyFont="1" applyFill="1" applyBorder="1" applyAlignment="1" applyProtection="1">
      <alignment vertical="top" wrapText="1"/>
      <protection hidden="1"/>
    </xf>
    <xf numFmtId="0" fontId="0" fillId="2" borderId="3" xfId="1" applyFont="1" applyFill="1" applyBorder="1" applyProtection="1">
      <protection hidden="1"/>
    </xf>
    <xf numFmtId="0" fontId="5" fillId="2" borderId="1" xfId="1" applyFont="1" applyFill="1" applyBorder="1" applyAlignment="1" applyProtection="1">
      <alignment horizontal="justify"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0" fontId="3" fillId="2" borderId="3" xfId="1" applyFont="1" applyFill="1" applyBorder="1" applyProtection="1">
      <protection hidden="1"/>
    </xf>
    <xf numFmtId="169" fontId="5" fillId="2" borderId="0" xfId="5" applyNumberFormat="1" applyFont="1" applyFill="1" applyAlignment="1" applyProtection="1">
      <alignment horizontal="right" wrapText="1"/>
      <protection hidden="1"/>
    </xf>
    <xf numFmtId="0" fontId="4" fillId="2" borderId="3" xfId="1" applyFont="1" applyFill="1" applyBorder="1" applyAlignment="1" applyProtection="1">
      <alignment wrapText="1"/>
      <protection hidden="1"/>
    </xf>
    <xf numFmtId="0" fontId="5" fillId="2" borderId="4" xfId="1" applyFont="1" applyFill="1" applyBorder="1" applyAlignment="1" applyProtection="1">
      <alignment horizontal="left"/>
      <protection hidden="1"/>
    </xf>
    <xf numFmtId="0" fontId="5" fillId="2" borderId="3" xfId="1" applyFont="1" applyFill="1" applyBorder="1" applyAlignment="1" applyProtection="1">
      <alignment horizontal="left" wrapText="1" indent="1"/>
      <protection hidden="1"/>
    </xf>
    <xf numFmtId="169" fontId="5" fillId="2" borderId="3" xfId="5" applyNumberFormat="1" applyFont="1" applyFill="1" applyBorder="1" applyAlignment="1" applyProtection="1">
      <alignment horizontal="right" wrapText="1"/>
      <protection hidden="1"/>
    </xf>
    <xf numFmtId="0" fontId="12" fillId="2" borderId="0" xfId="1" applyFont="1" applyFill="1" applyBorder="1" applyAlignment="1" applyProtection="1">
      <alignment horizontal="left" vertical="top" wrapText="1"/>
      <protection hidden="1"/>
    </xf>
    <xf numFmtId="0" fontId="12" fillId="2" borderId="0" xfId="1" applyFont="1" applyFill="1" applyBorder="1" applyAlignment="1" applyProtection="1">
      <alignment horizontal="left" wrapText="1"/>
      <protection hidden="1"/>
    </xf>
    <xf numFmtId="3" fontId="5" fillId="2" borderId="3" xfId="1" applyNumberFormat="1" applyFont="1" applyFill="1" applyBorder="1" applyAlignment="1" applyProtection="1">
      <alignment horizontal="right" wrapText="1"/>
      <protection hidden="1"/>
    </xf>
    <xf numFmtId="0" fontId="10" fillId="2" borderId="0" xfId="1" applyFont="1" applyFill="1" applyAlignment="1" applyProtection="1">
      <alignment horizontal="center" wrapText="1"/>
      <protection hidden="1"/>
    </xf>
    <xf numFmtId="0" fontId="5" fillId="2" borderId="0" xfId="1" applyFont="1" applyFill="1" applyAlignment="1" applyProtection="1">
      <alignment horizontal="left" wrapText="1" indent="3"/>
      <protection hidden="1"/>
    </xf>
    <xf numFmtId="0" fontId="4" fillId="2" borderId="0" xfId="1" applyFont="1" applyFill="1" applyAlignment="1" applyProtection="1">
      <alignment horizontal="left" wrapText="1" indent="3"/>
      <protection hidden="1"/>
    </xf>
    <xf numFmtId="169" fontId="4" fillId="2" borderId="0" xfId="1" applyNumberFormat="1" applyFont="1" applyFill="1" applyAlignment="1" applyProtection="1">
      <alignment horizontal="right" wrapText="1"/>
      <protection hidden="1"/>
    </xf>
    <xf numFmtId="0" fontId="19" fillId="3" borderId="0" xfId="1" applyFont="1" applyFill="1" applyAlignment="1" applyProtection="1">
      <alignment horizontal="justify" vertical="top" wrapText="1"/>
      <protection hidden="1"/>
    </xf>
    <xf numFmtId="0" fontId="4" fillId="2" borderId="1" xfId="1" applyFont="1" applyFill="1" applyBorder="1" applyAlignment="1" applyProtection="1">
      <alignment horizontal="left" wrapText="1" indent="3"/>
      <protection hidden="1"/>
    </xf>
    <xf numFmtId="0" fontId="3" fillId="2" borderId="0" xfId="1" applyFont="1" applyFill="1" applyAlignment="1" applyProtection="1">
      <alignment horizontal="justify"/>
      <protection hidden="1"/>
    </xf>
    <xf numFmtId="0" fontId="3" fillId="2" borderId="0" xfId="1" applyFont="1" applyFill="1" applyBorder="1" applyAlignment="1" applyProtection="1">
      <alignment vertical="top" wrapText="1"/>
      <protection hidden="1"/>
    </xf>
    <xf numFmtId="0" fontId="10" fillId="0" borderId="0" xfId="1" applyFont="1" applyAlignment="1" applyProtection="1">
      <alignment horizontal="justify"/>
      <protection hidden="1"/>
    </xf>
    <xf numFmtId="0" fontId="5" fillId="2" borderId="12" xfId="1" applyFont="1" applyFill="1" applyBorder="1" applyAlignment="1" applyProtection="1">
      <alignment vertical="top" wrapText="1"/>
      <protection hidden="1"/>
    </xf>
    <xf numFmtId="0" fontId="5" fillId="2" borderId="12" xfId="1" applyFont="1" applyFill="1" applyBorder="1" applyAlignment="1" applyProtection="1">
      <alignment horizontal="center" vertical="top" wrapText="1"/>
      <protection hidden="1"/>
    </xf>
    <xf numFmtId="0" fontId="5" fillId="2" borderId="2" xfId="1" applyFont="1" applyFill="1" applyBorder="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5" fillId="2" borderId="6" xfId="1" applyFont="1" applyFill="1" applyBorder="1" applyAlignment="1" applyProtection="1">
      <alignment vertical="top" wrapText="1"/>
      <protection hidden="1"/>
    </xf>
    <xf numFmtId="0" fontId="5" fillId="2" borderId="6" xfId="1" applyFont="1" applyFill="1" applyBorder="1" applyAlignment="1" applyProtection="1">
      <alignment horizontal="center" vertical="top" wrapText="1"/>
      <protection hidden="1"/>
    </xf>
    <xf numFmtId="0" fontId="30" fillId="2" borderId="0" xfId="1" applyFont="1" applyFill="1" applyProtection="1">
      <protection hidden="1"/>
    </xf>
    <xf numFmtId="165" fontId="5" fillId="2" borderId="3" xfId="1" applyNumberFormat="1" applyFont="1" applyFill="1" applyBorder="1" applyAlignment="1" applyProtection="1">
      <alignment horizontal="center" wrapText="1"/>
      <protection hidden="1"/>
    </xf>
    <xf numFmtId="0" fontId="4" fillId="2" borderId="0" xfId="1" applyFont="1" applyFill="1" applyAlignment="1" applyProtection="1">
      <alignment horizontal="left" vertical="top" wrapText="1" indent="2"/>
      <protection hidden="1"/>
    </xf>
    <xf numFmtId="0" fontId="5" fillId="2" borderId="0" xfId="1" applyFont="1" applyFill="1" applyAlignment="1" applyProtection="1">
      <alignment horizontal="left" vertical="top" wrapText="1" indent="3"/>
      <protection hidden="1"/>
    </xf>
    <xf numFmtId="172" fontId="5" fillId="2" borderId="0" xfId="1" applyNumberFormat="1" applyFont="1" applyFill="1" applyAlignment="1" applyProtection="1">
      <alignment horizontal="center" wrapText="1"/>
      <protection hidden="1"/>
    </xf>
    <xf numFmtId="0" fontId="5" fillId="2" borderId="3" xfId="1" applyFont="1" applyFill="1" applyBorder="1" applyAlignment="1" applyProtection="1">
      <alignment horizontal="left" vertical="top" wrapText="1" indent="3"/>
      <protection hidden="1"/>
    </xf>
    <xf numFmtId="0" fontId="4" fillId="0" borderId="0" xfId="1" applyFont="1" applyProtection="1">
      <protection hidden="1"/>
    </xf>
    <xf numFmtId="172" fontId="5" fillId="2" borderId="3" xfId="1" applyNumberFormat="1" applyFont="1" applyFill="1" applyBorder="1" applyAlignment="1" applyProtection="1">
      <alignment horizontal="center" wrapText="1"/>
      <protection hidden="1"/>
    </xf>
    <xf numFmtId="0" fontId="5" fillId="2" borderId="2" xfId="1" applyFont="1" applyFill="1" applyBorder="1" applyAlignment="1" applyProtection="1">
      <alignment horizontal="justify" vertical="top" wrapText="1"/>
      <protection hidden="1"/>
    </xf>
    <xf numFmtId="0" fontId="5" fillId="2" borderId="12" xfId="1" applyFont="1" applyFill="1" applyBorder="1" applyAlignment="1" applyProtection="1">
      <alignment horizontal="left" vertical="top" wrapText="1"/>
      <protection hidden="1"/>
    </xf>
    <xf numFmtId="0" fontId="5" fillId="2" borderId="12" xfId="1" applyFont="1" applyFill="1" applyBorder="1" applyAlignment="1" applyProtection="1">
      <alignment horizontal="justify" vertical="top" wrapText="1"/>
      <protection hidden="1"/>
    </xf>
    <xf numFmtId="0" fontId="5" fillId="2" borderId="3" xfId="1" applyFont="1" applyFill="1" applyBorder="1" applyAlignment="1" applyProtection="1">
      <alignment horizontal="justify" vertical="top" wrapText="1"/>
      <protection hidden="1"/>
    </xf>
    <xf numFmtId="173" fontId="5" fillId="2" borderId="0" xfId="1" applyNumberFormat="1" applyFont="1" applyFill="1" applyAlignment="1" applyProtection="1">
      <alignment horizontal="right" wrapText="1"/>
      <protection hidden="1"/>
    </xf>
    <xf numFmtId="0" fontId="4" fillId="2" borderId="3" xfId="1" applyFont="1" applyFill="1" applyBorder="1" applyAlignment="1" applyProtection="1">
      <alignment horizontal="left" vertical="top" wrapText="1" indent="1"/>
      <protection hidden="1"/>
    </xf>
    <xf numFmtId="173" fontId="4" fillId="2" borderId="3" xfId="1" applyNumberFormat="1" applyFont="1" applyFill="1" applyBorder="1" applyAlignment="1" applyProtection="1">
      <alignment horizontal="right" wrapText="1"/>
      <protection hidden="1"/>
    </xf>
    <xf numFmtId="164" fontId="5" fillId="2" borderId="0" xfId="0" applyNumberFormat="1" applyFont="1" applyFill="1" applyAlignment="1" applyProtection="1">
      <alignment horizontal="right" wrapText="1"/>
      <protection hidden="1"/>
    </xf>
    <xf numFmtId="0" fontId="5" fillId="2" borderId="0" xfId="0" applyFont="1" applyFill="1" applyAlignment="1" applyProtection="1">
      <alignment horizontal="right" wrapText="1"/>
      <protection hidden="1"/>
    </xf>
    <xf numFmtId="172" fontId="4" fillId="2" borderId="3" xfId="1" applyNumberFormat="1" applyFont="1" applyFill="1" applyBorder="1" applyAlignment="1" applyProtection="1">
      <alignment horizontal="right" wrapText="1"/>
      <protection hidden="1"/>
    </xf>
    <xf numFmtId="0" fontId="4" fillId="2" borderId="3" xfId="0" applyFont="1" applyFill="1" applyBorder="1" applyAlignment="1" applyProtection="1">
      <alignment horizontal="right" wrapText="1"/>
      <protection hidden="1"/>
    </xf>
    <xf numFmtId="172" fontId="5" fillId="2" borderId="0" xfId="1" applyNumberFormat="1" applyFont="1" applyFill="1" applyAlignment="1" applyProtection="1">
      <alignment horizontal="right" vertical="top" wrapText="1"/>
      <protection hidden="1"/>
    </xf>
    <xf numFmtId="0" fontId="5" fillId="2" borderId="0" xfId="0" applyFont="1" applyFill="1" applyAlignment="1" applyProtection="1">
      <alignment horizontal="right" vertical="top" wrapText="1"/>
      <protection hidden="1"/>
    </xf>
    <xf numFmtId="3" fontId="4" fillId="2" borderId="0" xfId="1" applyNumberFormat="1" applyFont="1" applyFill="1" applyAlignment="1" applyProtection="1">
      <alignment horizontal="right"/>
      <protection hidden="1"/>
    </xf>
    <xf numFmtId="3" fontId="4" fillId="2" borderId="3" xfId="1" applyNumberFormat="1" applyFont="1" applyFill="1" applyBorder="1" applyAlignment="1" applyProtection="1">
      <alignment horizontal="right" wrapText="1"/>
      <protection hidden="1"/>
    </xf>
    <xf numFmtId="3" fontId="4" fillId="2" borderId="3" xfId="1" applyNumberFormat="1" applyFont="1" applyFill="1" applyBorder="1" applyAlignment="1" applyProtection="1">
      <alignment horizontal="right"/>
      <protection hidden="1"/>
    </xf>
    <xf numFmtId="0" fontId="4" fillId="2" borderId="0" xfId="1" applyFont="1" applyFill="1" applyAlignment="1" applyProtection="1">
      <alignment horizontal="center"/>
      <protection hidden="1"/>
    </xf>
    <xf numFmtId="165" fontId="5" fillId="2" borderId="0" xfId="1" applyNumberFormat="1" applyFont="1" applyFill="1" applyAlignment="1" applyProtection="1">
      <alignment horizontal="right"/>
      <protection hidden="1"/>
    </xf>
    <xf numFmtId="165" fontId="5" fillId="2" borderId="0" xfId="1" applyNumberFormat="1" applyFont="1" applyFill="1" applyBorder="1" applyAlignment="1" applyProtection="1">
      <alignment horizontal="right"/>
      <protection hidden="1"/>
    </xf>
    <xf numFmtId="165" fontId="5" fillId="2" borderId="3" xfId="1" applyNumberFormat="1" applyFont="1" applyFill="1" applyBorder="1" applyAlignment="1" applyProtection="1">
      <alignment horizontal="right"/>
      <protection hidden="1"/>
    </xf>
    <xf numFmtId="0" fontId="4" fillId="2" borderId="2" xfId="1" applyFont="1" applyFill="1" applyBorder="1" applyAlignment="1" applyProtection="1">
      <alignment wrapText="1"/>
      <protection hidden="1"/>
    </xf>
    <xf numFmtId="0" fontId="4" fillId="2" borderId="2" xfId="1" applyFont="1" applyFill="1" applyBorder="1" applyAlignment="1" applyProtection="1">
      <alignment horizontal="center"/>
      <protection hidden="1"/>
    </xf>
    <xf numFmtId="165" fontId="5" fillId="2" borderId="1" xfId="1" applyNumberFormat="1" applyFont="1" applyFill="1" applyBorder="1" applyAlignment="1" applyProtection="1">
      <alignment horizontal="right"/>
      <protection hidden="1"/>
    </xf>
    <xf numFmtId="0" fontId="16" fillId="3" borderId="0" xfId="1" applyFont="1" applyFill="1" applyAlignment="1" applyProtection="1">
      <alignment horizontal="right"/>
      <protection hidden="1"/>
    </xf>
    <xf numFmtId="172" fontId="4" fillId="2" borderId="0" xfId="1" applyNumberFormat="1" applyFont="1" applyFill="1" applyBorder="1" applyAlignment="1" applyProtection="1">
      <alignment horizontal="right"/>
      <protection hidden="1"/>
    </xf>
    <xf numFmtId="172" fontId="4" fillId="2" borderId="2" xfId="1" applyNumberFormat="1" applyFont="1" applyFill="1" applyBorder="1" applyAlignment="1" applyProtection="1">
      <alignment horizontal="right"/>
      <protection hidden="1"/>
    </xf>
    <xf numFmtId="172" fontId="5" fillId="2" borderId="0" xfId="1" applyNumberFormat="1" applyFont="1" applyFill="1" applyBorder="1" applyAlignment="1" applyProtection="1">
      <alignment horizontal="right"/>
      <protection hidden="1"/>
    </xf>
    <xf numFmtId="172" fontId="4" fillId="2" borderId="1" xfId="1" applyNumberFormat="1" applyFont="1" applyFill="1" applyBorder="1" applyAlignment="1" applyProtection="1">
      <alignment horizontal="right"/>
      <protection hidden="1"/>
    </xf>
    <xf numFmtId="172" fontId="4" fillId="2" borderId="0" xfId="1" applyNumberFormat="1" applyFont="1" applyFill="1" applyAlignment="1" applyProtection="1">
      <alignment horizontal="right"/>
      <protection hidden="1"/>
    </xf>
    <xf numFmtId="172" fontId="5" fillId="2" borderId="0" xfId="1" applyNumberFormat="1" applyFont="1" applyFill="1" applyAlignment="1" applyProtection="1">
      <alignment horizontal="right"/>
      <protection hidden="1"/>
    </xf>
    <xf numFmtId="172" fontId="4" fillId="2" borderId="3" xfId="1" applyNumberFormat="1" applyFont="1" applyFill="1" applyBorder="1" applyAlignment="1" applyProtection="1">
      <alignment horizontal="right"/>
      <protection hidden="1"/>
    </xf>
    <xf numFmtId="0" fontId="14" fillId="2" borderId="0" xfId="0" applyFont="1" applyFill="1" applyAlignment="1" applyProtection="1">
      <alignment horizontal="left"/>
      <protection hidden="1"/>
    </xf>
    <xf numFmtId="0" fontId="5" fillId="2" borderId="13" xfId="0" applyFont="1" applyFill="1" applyBorder="1" applyAlignment="1" applyProtection="1">
      <alignment horizontal="right"/>
      <protection hidden="1"/>
    </xf>
    <xf numFmtId="0" fontId="30" fillId="2" borderId="0" xfId="1" applyFont="1" applyFill="1" applyAlignment="1" applyProtection="1">
      <protection hidden="1"/>
    </xf>
    <xf numFmtId="0" fontId="25" fillId="2" borderId="0" xfId="1" applyFont="1" applyFill="1" applyAlignment="1" applyProtection="1">
      <protection hidden="1"/>
    </xf>
    <xf numFmtId="0" fontId="0" fillId="2" borderId="0" xfId="1" applyFont="1" applyFill="1" applyAlignment="1" applyProtection="1">
      <protection hidden="1"/>
    </xf>
    <xf numFmtId="0" fontId="16" fillId="3" borderId="0" xfId="1" applyFont="1" applyFill="1" applyAlignment="1" applyProtection="1">
      <protection hidden="1"/>
    </xf>
    <xf numFmtId="0" fontId="4" fillId="2" borderId="0" xfId="1" applyFont="1" applyFill="1" applyAlignment="1" applyProtection="1">
      <protection hidden="1"/>
    </xf>
    <xf numFmtId="0" fontId="19" fillId="3" borderId="0" xfId="1" applyFont="1" applyFill="1" applyAlignment="1" applyProtection="1">
      <alignment horizontal="center"/>
      <protection hidden="1"/>
    </xf>
    <xf numFmtId="0" fontId="5" fillId="2" borderId="3" xfId="1" applyFont="1" applyFill="1" applyBorder="1" applyAlignment="1" applyProtection="1">
      <alignment horizontal="left"/>
      <protection hidden="1"/>
    </xf>
    <xf numFmtId="0" fontId="4" fillId="2" borderId="2" xfId="1" applyFont="1" applyFill="1" applyBorder="1" applyAlignment="1" applyProtection="1">
      <protection hidden="1"/>
    </xf>
    <xf numFmtId="0" fontId="5" fillId="2" borderId="1" xfId="1" applyFont="1" applyFill="1" applyBorder="1" applyAlignment="1" applyProtection="1">
      <alignment horizontal="left"/>
      <protection hidden="1"/>
    </xf>
    <xf numFmtId="0" fontId="19" fillId="3" borderId="0" xfId="1" applyFont="1" applyFill="1" applyAlignment="1" applyProtection="1">
      <protection hidden="1"/>
    </xf>
    <xf numFmtId="0" fontId="4" fillId="2" borderId="0" xfId="1" applyFont="1" applyFill="1" applyBorder="1" applyAlignment="1" applyProtection="1">
      <protection hidden="1"/>
    </xf>
    <xf numFmtId="0" fontId="4" fillId="2" borderId="1" xfId="1" applyFont="1" applyFill="1" applyBorder="1" applyAlignment="1" applyProtection="1">
      <alignment horizontal="left"/>
      <protection hidden="1"/>
    </xf>
    <xf numFmtId="0" fontId="4" fillId="2" borderId="3" xfId="1" applyFont="1" applyFill="1" applyBorder="1" applyAlignment="1" applyProtection="1">
      <protection hidden="1"/>
    </xf>
    <xf numFmtId="0" fontId="0" fillId="2" borderId="0" xfId="0" applyFill="1" applyAlignment="1" applyProtection="1">
      <protection hidden="1"/>
    </xf>
    <xf numFmtId="0" fontId="19" fillId="3" borderId="0" xfId="0" applyFont="1" applyFill="1" applyAlignment="1" applyProtection="1">
      <protection hidden="1"/>
    </xf>
    <xf numFmtId="0" fontId="19" fillId="3" borderId="0" xfId="0" applyFont="1" applyFill="1" applyAlignment="1" applyProtection="1">
      <alignment vertical="top"/>
      <protection hidden="1"/>
    </xf>
    <xf numFmtId="0" fontId="5" fillId="2" borderId="0" xfId="0" applyFont="1" applyFill="1" applyBorder="1" applyAlignment="1" applyProtection="1">
      <protection hidden="1"/>
    </xf>
    <xf numFmtId="0" fontId="5" fillId="2" borderId="13" xfId="0" applyFont="1" applyFill="1" applyBorder="1" applyAlignment="1" applyProtection="1">
      <protection hidden="1"/>
    </xf>
    <xf numFmtId="0" fontId="4" fillId="2" borderId="1" xfId="1" applyFont="1" applyFill="1" applyBorder="1" applyAlignment="1" applyProtection="1">
      <alignment horizontal="right" wrapText="1"/>
      <protection hidden="1"/>
    </xf>
    <xf numFmtId="164" fontId="4" fillId="2" borderId="1" xfId="1" applyNumberFormat="1" applyFont="1" applyFill="1" applyBorder="1" applyAlignment="1" applyProtection="1">
      <alignment horizontal="right" wrapText="1"/>
      <protection hidden="1"/>
    </xf>
    <xf numFmtId="3" fontId="4" fillId="2" borderId="1" xfId="1" applyNumberFormat="1" applyFont="1" applyFill="1" applyBorder="1" applyAlignment="1" applyProtection="1">
      <alignment horizontal="right" wrapText="1"/>
      <protection hidden="1"/>
    </xf>
    <xf numFmtId="3" fontId="5" fillId="2" borderId="0" xfId="1" applyNumberFormat="1" applyFont="1" applyFill="1" applyBorder="1" applyAlignment="1" applyProtection="1">
      <alignment horizontal="right" wrapText="1"/>
      <protection hidden="1"/>
    </xf>
    <xf numFmtId="165" fontId="4" fillId="2" borderId="0" xfId="1" applyNumberFormat="1" applyFont="1" applyFill="1" applyAlignment="1" applyProtection="1">
      <alignment horizontal="right" wrapText="1"/>
      <protection hidden="1"/>
    </xf>
    <xf numFmtId="165" fontId="5" fillId="2" borderId="0" xfId="1" applyNumberFormat="1" applyFont="1" applyFill="1" applyAlignment="1" applyProtection="1">
      <alignment wrapText="1"/>
      <protection hidden="1"/>
    </xf>
    <xf numFmtId="0" fontId="5" fillId="0" borderId="0" xfId="0" applyFont="1" applyBorder="1" applyProtection="1">
      <protection hidden="1"/>
    </xf>
    <xf numFmtId="0" fontId="5" fillId="0" borderId="0" xfId="0" applyFont="1" applyProtection="1">
      <protection hidden="1"/>
    </xf>
    <xf numFmtId="0" fontId="5" fillId="2" borderId="0" xfId="1" applyFont="1" applyFill="1" applyBorder="1" applyAlignment="1" applyProtection="1">
      <alignment horizontal="left" wrapText="1" indent="3"/>
      <protection hidden="1"/>
    </xf>
    <xf numFmtId="0" fontId="5" fillId="2" borderId="1" xfId="1" applyFont="1" applyFill="1" applyBorder="1" applyAlignment="1" applyProtection="1">
      <alignment horizontal="left" wrapText="1" indent="3"/>
      <protection hidden="1"/>
    </xf>
    <xf numFmtId="0" fontId="15" fillId="2" borderId="0" xfId="1" applyFont="1" applyFill="1" applyAlignment="1" applyProtection="1">
      <alignment horizontal="left"/>
      <protection hidden="1"/>
    </xf>
    <xf numFmtId="0" fontId="20" fillId="2" borderId="0" xfId="1" applyFont="1" applyFill="1" applyAlignment="1" applyProtection="1">
      <alignment wrapText="1"/>
      <protection hidden="1"/>
    </xf>
    <xf numFmtId="3" fontId="20" fillId="2" borderId="0" xfId="1" applyNumberFormat="1" applyFont="1" applyFill="1" applyAlignment="1" applyProtection="1">
      <alignment wrapText="1"/>
      <protection hidden="1"/>
    </xf>
    <xf numFmtId="165" fontId="20" fillId="2" borderId="0" xfId="1" applyNumberFormat="1" applyFont="1" applyFill="1" applyAlignment="1" applyProtection="1">
      <alignment wrapText="1"/>
      <protection hidden="1"/>
    </xf>
    <xf numFmtId="0" fontId="20" fillId="2" borderId="3" xfId="1" applyFont="1" applyFill="1" applyBorder="1" applyAlignment="1" applyProtection="1">
      <alignment wrapText="1"/>
      <protection hidden="1"/>
    </xf>
    <xf numFmtId="0" fontId="5" fillId="0" borderId="3" xfId="0" applyFont="1" applyBorder="1" applyProtection="1">
      <protection hidden="1"/>
    </xf>
    <xf numFmtId="0" fontId="5" fillId="2" borderId="0" xfId="0" applyFont="1" applyFill="1" applyAlignment="1" applyProtection="1">
      <alignment vertical="top" wrapText="1"/>
      <protection hidden="1"/>
    </xf>
    <xf numFmtId="0" fontId="5" fillId="2" borderId="0" xfId="0" applyFont="1" applyFill="1" applyAlignment="1" applyProtection="1">
      <alignment horizontal="justify" vertical="top" wrapText="1"/>
      <protection hidden="1"/>
    </xf>
    <xf numFmtId="0" fontId="25" fillId="2" borderId="0" xfId="0" applyFont="1" applyFill="1" applyAlignment="1" applyProtection="1">
      <alignment vertical="top" wrapText="1"/>
      <protection hidden="1"/>
    </xf>
    <xf numFmtId="0" fontId="19" fillId="2" borderId="0" xfId="0" applyFont="1" applyFill="1" applyAlignment="1" applyProtection="1">
      <alignment vertical="top" wrapText="1"/>
      <protection hidden="1"/>
    </xf>
    <xf numFmtId="0" fontId="36" fillId="2" borderId="0" xfId="1" applyFont="1" applyFill="1"/>
    <xf numFmtId="0" fontId="19" fillId="2" borderId="4" xfId="1" applyFont="1" applyFill="1" applyBorder="1" applyAlignment="1" applyProtection="1">
      <alignment horizontal="left"/>
      <protection hidden="1"/>
    </xf>
    <xf numFmtId="0" fontId="19" fillId="2" borderId="0" xfId="1" applyFont="1" applyFill="1" applyBorder="1" applyAlignment="1" applyProtection="1">
      <alignment horizontal="left"/>
      <protection hidden="1"/>
    </xf>
    <xf numFmtId="172" fontId="19" fillId="2" borderId="0" xfId="1" applyNumberFormat="1" applyFont="1" applyFill="1" applyAlignment="1" applyProtection="1">
      <alignment horizontal="right" wrapText="1"/>
      <protection hidden="1"/>
    </xf>
    <xf numFmtId="165" fontId="19" fillId="2" borderId="0" xfId="1" applyNumberFormat="1" applyFont="1" applyFill="1" applyAlignment="1" applyProtection="1">
      <alignment horizontal="center" wrapText="1"/>
      <protection hidden="1"/>
    </xf>
    <xf numFmtId="169" fontId="19" fillId="2" borderId="0" xfId="5" applyNumberFormat="1" applyFont="1" applyFill="1" applyAlignment="1" applyProtection="1">
      <alignment horizontal="right" wrapText="1"/>
      <protection hidden="1"/>
    </xf>
    <xf numFmtId="169" fontId="19" fillId="2" borderId="0" xfId="1" applyNumberFormat="1" applyFont="1" applyFill="1" applyAlignment="1" applyProtection="1">
      <alignment horizontal="right" wrapText="1"/>
      <protection hidden="1"/>
    </xf>
    <xf numFmtId="165" fontId="19" fillId="2" borderId="3" xfId="1" applyNumberFormat="1" applyFont="1" applyFill="1" applyBorder="1" applyAlignment="1" applyProtection="1">
      <alignment horizontal="right" wrapText="1"/>
      <protection hidden="1"/>
    </xf>
    <xf numFmtId="0" fontId="36" fillId="2" borderId="0" xfId="1" applyFont="1" applyFill="1" applyBorder="1"/>
    <xf numFmtId="4" fontId="19" fillId="2" borderId="0" xfId="5" applyNumberFormat="1" applyFont="1" applyFill="1" applyBorder="1" applyAlignment="1" applyProtection="1">
      <alignment horizontal="right" wrapText="1"/>
      <protection hidden="1"/>
    </xf>
    <xf numFmtId="2" fontId="19" fillId="2" borderId="0" xfId="1" applyNumberFormat="1" applyFont="1" applyFill="1" applyAlignment="1" applyProtection="1">
      <alignment horizontal="right" wrapText="1"/>
      <protection hidden="1"/>
    </xf>
    <xf numFmtId="0" fontId="19" fillId="2" borderId="0" xfId="1" applyFont="1" applyFill="1" applyBorder="1" applyAlignment="1" applyProtection="1">
      <alignment horizontal="center" vertical="top" wrapText="1"/>
      <protection hidden="1"/>
    </xf>
    <xf numFmtId="165" fontId="19" fillId="2" borderId="0" xfId="5" applyNumberFormat="1" applyFont="1" applyFill="1" applyBorder="1" applyAlignment="1" applyProtection="1">
      <alignment horizontal="right" wrapText="1"/>
      <protection hidden="1"/>
    </xf>
    <xf numFmtId="165" fontId="19" fillId="2" borderId="0" xfId="1" applyNumberFormat="1" applyFont="1" applyFill="1" applyBorder="1" applyAlignment="1" applyProtection="1">
      <alignment horizontal="right" wrapText="1"/>
      <protection hidden="1"/>
    </xf>
    <xf numFmtId="0" fontId="19" fillId="2" borderId="0" xfId="1" applyFont="1" applyFill="1" applyBorder="1" applyAlignment="1" applyProtection="1">
      <alignment horizontal="center" wrapText="1"/>
      <protection hidden="1"/>
    </xf>
    <xf numFmtId="165" fontId="19" fillId="2" borderId="0" xfId="1" applyNumberFormat="1" applyFont="1" applyFill="1" applyAlignment="1" applyProtection="1">
      <alignment horizontal="right" wrapText="1"/>
      <protection hidden="1"/>
    </xf>
    <xf numFmtId="167" fontId="5" fillId="2" borderId="0" xfId="0" applyNumberFormat="1" applyFont="1" applyFill="1" applyAlignment="1" applyProtection="1">
      <alignment horizontal="right"/>
      <protection hidden="1"/>
    </xf>
    <xf numFmtId="167" fontId="5" fillId="2" borderId="0" xfId="0" applyNumberFormat="1" applyFont="1" applyFill="1" applyBorder="1" applyAlignment="1" applyProtection="1">
      <alignment horizontal="right"/>
      <protection hidden="1"/>
    </xf>
    <xf numFmtId="0" fontId="5" fillId="2" borderId="10" xfId="1" applyFont="1" applyFill="1" applyBorder="1" applyAlignment="1" applyProtection="1">
      <alignment horizontal="left" vertical="top" wrapText="1"/>
      <protection hidden="1"/>
    </xf>
    <xf numFmtId="0" fontId="5" fillId="2" borderId="8" xfId="1" applyFont="1" applyFill="1" applyBorder="1" applyAlignment="1" applyProtection="1">
      <alignment horizontal="left" vertical="top" wrapText="1"/>
      <protection hidden="1"/>
    </xf>
    <xf numFmtId="0" fontId="5" fillId="2" borderId="5" xfId="1" applyFont="1" applyFill="1" applyBorder="1" applyAlignment="1" applyProtection="1">
      <alignment horizontal="left" vertical="top" wrapText="1"/>
      <protection hidden="1"/>
    </xf>
    <xf numFmtId="0" fontId="5" fillId="2" borderId="11" xfId="1" applyFont="1" applyFill="1" applyBorder="1" applyAlignment="1" applyProtection="1">
      <alignment horizontal="left" vertical="top" wrapText="1"/>
      <protection hidden="1"/>
    </xf>
    <xf numFmtId="0" fontId="32" fillId="2" borderId="0" xfId="2" applyFont="1" applyFill="1" applyBorder="1" applyAlignment="1" applyProtection="1">
      <alignment horizontal="left"/>
      <protection hidden="1"/>
    </xf>
    <xf numFmtId="0" fontId="5" fillId="2" borderId="1" xfId="1" applyFont="1" applyFill="1" applyBorder="1" applyAlignment="1" applyProtection="1">
      <alignment horizontal="left" wrapText="1" indent="2"/>
      <protection hidden="1"/>
    </xf>
    <xf numFmtId="0" fontId="5" fillId="4" borderId="0" xfId="1" applyFont="1" applyFill="1" applyBorder="1" applyAlignment="1" applyProtection="1">
      <alignment vertical="top" wrapText="1"/>
      <protection hidden="1"/>
    </xf>
    <xf numFmtId="0" fontId="5" fillId="4" borderId="0" xfId="1" applyFont="1" applyFill="1" applyBorder="1" applyAlignment="1" applyProtection="1">
      <alignment horizontal="center" vertical="top" wrapText="1"/>
      <protection hidden="1"/>
    </xf>
    <xf numFmtId="0" fontId="5" fillId="2" borderId="14" xfId="1" applyFont="1" applyFill="1" applyBorder="1" applyAlignment="1" applyProtection="1">
      <alignment vertical="top" wrapText="1"/>
      <protection hidden="1"/>
    </xf>
    <xf numFmtId="0" fontId="5" fillId="2" borderId="14" xfId="1" applyFont="1" applyFill="1" applyBorder="1" applyAlignment="1" applyProtection="1">
      <alignment horizontal="center" vertical="top" wrapText="1"/>
      <protection hidden="1"/>
    </xf>
    <xf numFmtId="0" fontId="5" fillId="2" borderId="14" xfId="1" applyFont="1" applyFill="1" applyBorder="1" applyAlignment="1" applyProtection="1">
      <alignment horizontal="left" vertical="top" wrapText="1"/>
      <protection hidden="1"/>
    </xf>
    <xf numFmtId="0" fontId="4" fillId="2" borderId="4" xfId="1" applyFont="1" applyFill="1" applyBorder="1" applyAlignment="1" applyProtection="1">
      <alignment horizontal="right" vertical="top" wrapText="1"/>
      <protection hidden="1"/>
    </xf>
    <xf numFmtId="0" fontId="15" fillId="4" borderId="0" xfId="0" applyFont="1" applyFill="1" applyAlignment="1" applyProtection="1">
      <alignment horizontal="left"/>
      <protection hidden="1"/>
    </xf>
    <xf numFmtId="0" fontId="26" fillId="4" borderId="0" xfId="1" applyFont="1" applyFill="1" applyProtection="1">
      <protection hidden="1"/>
    </xf>
    <xf numFmtId="0" fontId="16" fillId="3" borderId="0" xfId="1" applyFont="1" applyFill="1" applyBorder="1" applyAlignment="1" applyProtection="1">
      <alignment horizontal="center" vertical="top" wrapText="1"/>
      <protection hidden="1"/>
    </xf>
    <xf numFmtId="0" fontId="4" fillId="2" borderId="5" xfId="1" applyFont="1" applyFill="1" applyBorder="1" applyAlignment="1" applyProtection="1">
      <alignment vertical="top"/>
      <protection hidden="1"/>
    </xf>
    <xf numFmtId="0" fontId="4" fillId="2" borderId="5" xfId="1" applyFont="1" applyFill="1" applyBorder="1" applyAlignment="1" applyProtection="1">
      <alignment vertical="top" wrapText="1"/>
      <protection hidden="1"/>
    </xf>
    <xf numFmtId="0" fontId="5" fillId="2" borderId="17" xfId="0" applyFont="1" applyFill="1" applyBorder="1" applyAlignment="1" applyProtection="1">
      <alignment vertical="top" wrapText="1"/>
      <protection hidden="1"/>
    </xf>
    <xf numFmtId="0" fontId="5" fillId="2" borderId="17" xfId="1" applyFont="1" applyFill="1" applyBorder="1" applyAlignment="1" applyProtection="1">
      <alignment horizontal="left" vertical="top" wrapText="1"/>
      <protection hidden="1"/>
    </xf>
    <xf numFmtId="0" fontId="5" fillId="2" borderId="17" xfId="1" applyFont="1" applyFill="1" applyBorder="1" applyAlignment="1" applyProtection="1">
      <alignment horizontal="center" vertical="top" wrapText="1"/>
      <protection hidden="1"/>
    </xf>
    <xf numFmtId="0" fontId="5" fillId="2" borderId="11" xfId="1" applyFont="1" applyFill="1" applyBorder="1" applyAlignment="1" applyProtection="1">
      <alignment vertical="top" wrapText="1"/>
      <protection hidden="1"/>
    </xf>
    <xf numFmtId="0" fontId="5" fillId="2" borderId="8" xfId="1" applyFont="1" applyFill="1" applyBorder="1" applyAlignment="1" applyProtection="1">
      <alignment horizontal="center" vertical="center" wrapText="1"/>
      <protection hidden="1"/>
    </xf>
    <xf numFmtId="0" fontId="5" fillId="2" borderId="8" xfId="0" applyFont="1" applyFill="1" applyBorder="1" applyAlignment="1" applyProtection="1">
      <alignment horizontal="justify" vertical="top"/>
      <protection hidden="1"/>
    </xf>
    <xf numFmtId="0" fontId="5" fillId="2" borderId="8" xfId="0" applyFont="1" applyFill="1" applyBorder="1" applyAlignment="1" applyProtection="1">
      <alignment horizontal="center" vertical="top" wrapText="1"/>
      <protection hidden="1"/>
    </xf>
    <xf numFmtId="0" fontId="5" fillId="2" borderId="0" xfId="1" applyFont="1" applyFill="1" applyBorder="1" applyAlignment="1" applyProtection="1">
      <alignment vertical="center" wrapText="1"/>
      <protection hidden="1"/>
    </xf>
    <xf numFmtId="0" fontId="5" fillId="2" borderId="11" xfId="0" applyFont="1" applyFill="1" applyBorder="1" applyAlignment="1" applyProtection="1">
      <alignment horizontal="center" vertical="top" wrapText="1"/>
      <protection hidden="1"/>
    </xf>
    <xf numFmtId="0" fontId="5" fillId="2" borderId="11" xfId="0" applyFont="1" applyFill="1" applyBorder="1" applyAlignment="1" applyProtection="1">
      <alignment horizontal="center" vertical="top"/>
      <protection hidden="1"/>
    </xf>
    <xf numFmtId="0" fontId="5" fillId="2" borderId="0" xfId="0" applyFont="1" applyFill="1" applyAlignment="1" applyProtection="1">
      <alignment vertical="top"/>
      <protection hidden="1"/>
    </xf>
    <xf numFmtId="0" fontId="5" fillId="2"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36" fillId="2" borderId="0" xfId="1" applyFont="1" applyFill="1" applyProtection="1">
      <protection hidden="1"/>
    </xf>
    <xf numFmtId="0" fontId="5" fillId="2" borderId="10" xfId="0" applyFont="1" applyFill="1" applyBorder="1" applyAlignment="1" applyProtection="1">
      <alignment horizontal="left" vertical="top" wrapText="1"/>
      <protection hidden="1"/>
    </xf>
    <xf numFmtId="0" fontId="5" fillId="2" borderId="10" xfId="0" applyFont="1" applyFill="1" applyBorder="1" applyAlignment="1" applyProtection="1">
      <alignment horizontal="center" vertical="top" wrapText="1"/>
      <protection hidden="1"/>
    </xf>
    <xf numFmtId="0" fontId="5" fillId="2" borderId="10" xfId="0" applyFont="1" applyFill="1" applyBorder="1" applyAlignment="1" applyProtection="1">
      <alignment horizontal="center" vertical="top"/>
      <protection hidden="1"/>
    </xf>
    <xf numFmtId="0" fontId="4" fillId="0" borderId="0" xfId="0" applyFont="1" applyProtection="1">
      <protection hidden="1"/>
    </xf>
    <xf numFmtId="0" fontId="5" fillId="2" borderId="10" xfId="1" applyFont="1" applyFill="1" applyBorder="1" applyAlignment="1" applyProtection="1">
      <alignment horizontal="center" vertical="justify" wrapText="1"/>
      <protection hidden="1"/>
    </xf>
    <xf numFmtId="0" fontId="5" fillId="0" borderId="10" xfId="0" applyFont="1" applyBorder="1" applyAlignment="1" applyProtection="1">
      <alignment vertical="top" wrapText="1"/>
      <protection hidden="1"/>
    </xf>
    <xf numFmtId="0" fontId="5" fillId="2" borderId="10" xfId="0" applyFont="1" applyFill="1" applyBorder="1" applyAlignment="1" applyProtection="1">
      <alignment vertical="top" wrapText="1"/>
      <protection hidden="1"/>
    </xf>
    <xf numFmtId="3" fontId="5" fillId="2" borderId="0" xfId="1" applyNumberFormat="1" applyFont="1" applyFill="1" applyAlignment="1" applyProtection="1">
      <alignment wrapText="1"/>
      <protection hidden="1"/>
    </xf>
    <xf numFmtId="0" fontId="19" fillId="2" borderId="0" xfId="1" applyFont="1" applyFill="1" applyBorder="1" applyAlignment="1" applyProtection="1">
      <alignment vertical="top" wrapText="1"/>
      <protection hidden="1"/>
    </xf>
    <xf numFmtId="0" fontId="11" fillId="2" borderId="0" xfId="1" applyFont="1" applyFill="1" applyAlignment="1" applyProtection="1">
      <alignment wrapText="1"/>
      <protection hidden="1"/>
    </xf>
    <xf numFmtId="164" fontId="4" fillId="2" borderId="0" xfId="1" applyNumberFormat="1" applyFont="1" applyFill="1" applyAlignment="1" applyProtection="1">
      <alignment horizontal="right" wrapText="1"/>
      <protection hidden="1"/>
    </xf>
    <xf numFmtId="0" fontId="10" fillId="2" borderId="0" xfId="1" applyFont="1" applyFill="1" applyAlignment="1" applyProtection="1">
      <alignment horizontal="left" wrapText="1" indent="1"/>
      <protection hidden="1"/>
    </xf>
    <xf numFmtId="0" fontId="10" fillId="2" borderId="0" xfId="1" applyFont="1" applyFill="1" applyAlignment="1" applyProtection="1">
      <alignment horizontal="left" wrapText="1" indent="4"/>
      <protection hidden="1"/>
    </xf>
    <xf numFmtId="0" fontId="10" fillId="2" borderId="3" xfId="1" applyFont="1" applyFill="1" applyBorder="1" applyAlignment="1" applyProtection="1">
      <alignment horizontal="left" wrapText="1" indent="1"/>
      <protection hidden="1"/>
    </xf>
    <xf numFmtId="0" fontId="5" fillId="0" borderId="0" xfId="1" applyFont="1" applyAlignment="1" applyProtection="1">
      <alignment wrapText="1"/>
      <protection hidden="1"/>
    </xf>
    <xf numFmtId="0" fontId="5" fillId="2" borderId="3" xfId="1" applyFont="1" applyFill="1" applyBorder="1" applyAlignment="1" applyProtection="1">
      <alignment horizontal="left" wrapText="1" indent="4"/>
      <protection hidden="1"/>
    </xf>
    <xf numFmtId="164" fontId="5" fillId="2" borderId="3" xfId="1" applyNumberFormat="1" applyFont="1" applyFill="1" applyBorder="1" applyAlignment="1" applyProtection="1">
      <alignment horizontal="right"/>
      <protection hidden="1"/>
    </xf>
    <xf numFmtId="0" fontId="19" fillId="3" borderId="0" xfId="1" applyFont="1" applyFill="1" applyAlignment="1" applyProtection="1">
      <alignment horizontal="right" wrapText="1"/>
      <protection hidden="1"/>
    </xf>
    <xf numFmtId="9" fontId="4" fillId="2" borderId="3" xfId="1" applyNumberFormat="1" applyFont="1" applyFill="1" applyBorder="1" applyAlignment="1" applyProtection="1">
      <alignment horizontal="right" wrapText="1"/>
      <protection hidden="1"/>
    </xf>
    <xf numFmtId="0" fontId="5" fillId="2" borderId="3" xfId="1" applyFont="1" applyFill="1" applyBorder="1" applyProtection="1">
      <protection hidden="1"/>
    </xf>
    <xf numFmtId="0" fontId="5" fillId="2" borderId="0" xfId="0" applyFont="1" applyFill="1" applyAlignment="1" applyProtection="1">
      <alignment wrapText="1"/>
      <protection hidden="1"/>
    </xf>
    <xf numFmtId="0" fontId="5" fillId="2" borderId="0" xfId="0" applyFont="1" applyFill="1" applyAlignment="1" applyProtection="1">
      <alignment horizontal="left" vertical="top" wrapText="1" indent="1"/>
      <protection hidden="1"/>
    </xf>
    <xf numFmtId="0" fontId="5" fillId="2" borderId="1" xfId="0" applyFont="1" applyFill="1" applyBorder="1" applyAlignment="1" applyProtection="1">
      <alignment horizontal="left" vertical="top" wrapText="1" indent="1"/>
      <protection hidden="1"/>
    </xf>
    <xf numFmtId="0" fontId="5" fillId="2" borderId="1" xfId="0" applyFont="1" applyFill="1" applyBorder="1" applyAlignment="1" applyProtection="1">
      <alignment horizontal="right" wrapText="1"/>
      <protection hidden="1"/>
    </xf>
    <xf numFmtId="0" fontId="25" fillId="2" borderId="0" xfId="0" applyFont="1" applyFill="1" applyAlignment="1" applyProtection="1">
      <alignment wrapText="1"/>
      <protection hidden="1"/>
    </xf>
    <xf numFmtId="0" fontId="5" fillId="2" borderId="3" xfId="0" applyFont="1" applyFill="1" applyBorder="1" applyAlignment="1" applyProtection="1">
      <alignment horizontal="left" vertical="top" wrapText="1" indent="1"/>
      <protection hidden="1"/>
    </xf>
    <xf numFmtId="167" fontId="5" fillId="2" borderId="3" xfId="1" applyNumberFormat="1" applyFont="1" applyFill="1" applyBorder="1" applyAlignment="1" applyProtection="1">
      <alignment horizontal="right" wrapText="1"/>
      <protection hidden="1"/>
    </xf>
    <xf numFmtId="167" fontId="5" fillId="2" borderId="3" xfId="0" applyNumberFormat="1" applyFont="1" applyFill="1" applyBorder="1" applyAlignment="1" applyProtection="1">
      <alignment horizontal="right" wrapText="1"/>
      <protection hidden="1"/>
    </xf>
    <xf numFmtId="0" fontId="14" fillId="2" borderId="0" xfId="1" applyFont="1" applyFill="1" applyAlignment="1" applyProtection="1">
      <alignment horizontal="left"/>
      <protection hidden="1"/>
    </xf>
    <xf numFmtId="0" fontId="19" fillId="3" borderId="0" xfId="1" applyFont="1" applyFill="1" applyAlignment="1" applyProtection="1">
      <alignment vertical="top" wrapText="1"/>
      <protection hidden="1"/>
    </xf>
    <xf numFmtId="43" fontId="5" fillId="2" borderId="0" xfId="1" applyNumberFormat="1" applyFont="1" applyFill="1" applyBorder="1" applyAlignment="1" applyProtection="1">
      <alignment horizontal="right" wrapText="1"/>
      <protection hidden="1"/>
    </xf>
    <xf numFmtId="0" fontId="5" fillId="2" borderId="3" xfId="1" applyFont="1" applyFill="1" applyBorder="1" applyAlignment="1" applyProtection="1">
      <alignment horizontal="left" wrapText="1" indent="3"/>
      <protection hidden="1"/>
    </xf>
    <xf numFmtId="0" fontId="37" fillId="2" borderId="0" xfId="2" applyFont="1" applyFill="1" applyBorder="1" applyAlignment="1" applyProtection="1">
      <alignment horizontal="left"/>
      <protection hidden="1"/>
    </xf>
    <xf numFmtId="0" fontId="4" fillId="2" borderId="1" xfId="0" applyFont="1" applyFill="1" applyBorder="1" applyAlignment="1" applyProtection="1">
      <alignment horizontal="right" wrapText="1"/>
      <protection hidden="1"/>
    </xf>
    <xf numFmtId="0" fontId="5" fillId="2" borderId="0" xfId="1" applyFont="1" applyFill="1" applyBorder="1" applyAlignment="1" applyProtection="1">
      <alignment horizontal="left" wrapText="1" indent="2"/>
      <protection hidden="1"/>
    </xf>
    <xf numFmtId="10" fontId="5" fillId="2" borderId="0" xfId="1" applyNumberFormat="1" applyFont="1" applyFill="1" applyBorder="1" applyAlignment="1" applyProtection="1">
      <alignment horizontal="right" wrapText="1"/>
      <protection hidden="1"/>
    </xf>
    <xf numFmtId="167" fontId="5" fillId="2" borderId="0" xfId="0" applyNumberFormat="1" applyFont="1" applyFill="1" applyAlignment="1" applyProtection="1">
      <alignment horizontal="right" vertical="top" wrapText="1"/>
      <protection hidden="1"/>
    </xf>
    <xf numFmtId="167" fontId="5" fillId="2" borderId="1" xfId="0" applyNumberFormat="1" applyFont="1" applyFill="1" applyBorder="1" applyAlignment="1" applyProtection="1">
      <alignment horizontal="right" vertical="top" wrapText="1"/>
      <protection hidden="1"/>
    </xf>
    <xf numFmtId="10" fontId="5" fillId="2" borderId="0" xfId="1" applyNumberFormat="1" applyFont="1" applyFill="1" applyAlignment="1" applyProtection="1">
      <alignment horizontal="right" vertical="top" wrapText="1"/>
      <protection hidden="1"/>
    </xf>
    <xf numFmtId="167" fontId="5" fillId="2" borderId="0" xfId="1" applyNumberFormat="1" applyFont="1" applyFill="1" applyAlignment="1" applyProtection="1">
      <alignment horizontal="right" vertical="top" wrapText="1"/>
      <protection hidden="1"/>
    </xf>
    <xf numFmtId="0" fontId="5" fillId="2" borderId="3" xfId="1" applyFont="1" applyFill="1" applyBorder="1" applyAlignment="1" applyProtection="1">
      <alignment horizontal="left" wrapText="1" indent="2"/>
      <protection hidden="1"/>
    </xf>
    <xf numFmtId="10" fontId="5" fillId="2" borderId="3" xfId="1" applyNumberFormat="1" applyFont="1" applyFill="1" applyBorder="1" applyAlignment="1" applyProtection="1">
      <alignment horizontal="right" vertical="top" wrapText="1"/>
      <protection hidden="1"/>
    </xf>
    <xf numFmtId="167" fontId="5" fillId="2" borderId="3" xfId="1" applyNumberFormat="1" applyFont="1" applyFill="1" applyBorder="1" applyAlignment="1" applyProtection="1">
      <alignment horizontal="right" vertical="top" wrapText="1"/>
      <protection hidden="1"/>
    </xf>
    <xf numFmtId="167" fontId="5" fillId="2" borderId="3" xfId="0" applyNumberFormat="1" applyFont="1" applyFill="1" applyBorder="1" applyAlignment="1" applyProtection="1">
      <alignment horizontal="right" vertical="top" wrapText="1"/>
      <protection hidden="1"/>
    </xf>
    <xf numFmtId="0" fontId="5" fillId="4" borderId="0" xfId="0" applyFont="1" applyFill="1" applyProtection="1">
      <protection hidden="1"/>
    </xf>
    <xf numFmtId="10" fontId="5" fillId="2" borderId="0" xfId="1" applyNumberFormat="1" applyFont="1" applyFill="1" applyAlignment="1" applyProtection="1">
      <alignment horizontal="right" wrapText="1"/>
      <protection hidden="1"/>
    </xf>
    <xf numFmtId="0" fontId="5" fillId="2" borderId="2" xfId="1" applyFont="1" applyFill="1" applyBorder="1" applyAlignment="1" applyProtection="1">
      <alignment horizontal="left" wrapText="1"/>
      <protection hidden="1"/>
    </xf>
    <xf numFmtId="167" fontId="5" fillId="2" borderId="2" xfId="1" applyNumberFormat="1" applyFont="1" applyFill="1" applyBorder="1" applyAlignment="1" applyProtection="1">
      <alignment horizontal="right" wrapText="1"/>
      <protection hidden="1"/>
    </xf>
    <xf numFmtId="10" fontId="5" fillId="2" borderId="3" xfId="1" applyNumberFormat="1" applyFont="1" applyFill="1" applyBorder="1" applyAlignment="1" applyProtection="1">
      <alignment horizontal="right" wrapText="1"/>
      <protection hidden="1"/>
    </xf>
    <xf numFmtId="176" fontId="0" fillId="2" borderId="0" xfId="1" applyNumberFormat="1" applyFont="1" applyFill="1" applyProtection="1">
      <protection hidden="1"/>
    </xf>
    <xf numFmtId="0" fontId="26" fillId="2" borderId="0" xfId="1" applyFont="1" applyFill="1" applyAlignment="1" applyProtection="1">
      <alignment wrapText="1"/>
      <protection hidden="1"/>
    </xf>
    <xf numFmtId="0" fontId="6" fillId="2" borderId="0" xfId="2" applyFill="1" applyAlignment="1" applyProtection="1">
      <alignment horizontal="left" wrapText="1"/>
      <protection hidden="1"/>
    </xf>
    <xf numFmtId="0" fontId="6" fillId="2" borderId="0" xfId="2" applyFill="1" applyAlignment="1" applyProtection="1">
      <alignment horizontal="left" indent="1"/>
      <protection hidden="1"/>
    </xf>
    <xf numFmtId="0" fontId="6" fillId="2" borderId="0" xfId="2" applyFill="1" applyBorder="1" applyAlignment="1" applyProtection="1">
      <alignment wrapText="1"/>
      <protection hidden="1"/>
    </xf>
    <xf numFmtId="0" fontId="32" fillId="4" borderId="0" xfId="2" applyFont="1" applyFill="1" applyAlignment="1" applyProtection="1"/>
    <xf numFmtId="0" fontId="6" fillId="2" borderId="0" xfId="2" applyFill="1" applyBorder="1" applyAlignment="1" applyProtection="1"/>
    <xf numFmtId="0" fontId="32" fillId="2" borderId="0" xfId="2" applyFont="1" applyFill="1" applyBorder="1" applyAlignment="1" applyProtection="1">
      <protection hidden="1"/>
    </xf>
    <xf numFmtId="0" fontId="32" fillId="2" borderId="0" xfId="0" applyFont="1" applyFill="1" applyBorder="1" applyAlignment="1" applyProtection="1">
      <protection hidden="1"/>
    </xf>
    <xf numFmtId="0" fontId="6" fillId="2" borderId="0" xfId="2" applyFill="1" applyBorder="1" applyAlignment="1" applyProtection="1">
      <protection hidden="1"/>
    </xf>
    <xf numFmtId="0" fontId="25" fillId="2" borderId="0" xfId="0" applyFont="1" applyFill="1" applyBorder="1" applyProtection="1">
      <protection hidden="1"/>
    </xf>
    <xf numFmtId="0" fontId="25" fillId="0" borderId="0" xfId="0" applyFont="1" applyBorder="1" applyProtection="1">
      <protection hidden="1"/>
    </xf>
    <xf numFmtId="0" fontId="26" fillId="2" borderId="0" xfId="1" applyFont="1" applyFill="1" applyBorder="1" applyAlignment="1" applyProtection="1">
      <alignment vertical="top" wrapText="1"/>
      <protection hidden="1"/>
    </xf>
    <xf numFmtId="0" fontId="36" fillId="2" borderId="0" xfId="1" applyFont="1" applyFill="1" applyBorder="1" applyAlignment="1" applyProtection="1">
      <alignment vertical="top" wrapText="1"/>
      <protection hidden="1"/>
    </xf>
    <xf numFmtId="0" fontId="36" fillId="2" borderId="0" xfId="1" applyFont="1" applyFill="1" applyBorder="1" applyProtection="1">
      <protection hidden="1"/>
    </xf>
    <xf numFmtId="0" fontId="16" fillId="3" borderId="0" xfId="1" applyFont="1" applyFill="1" applyAlignment="1" applyProtection="1">
      <alignment horizontal="right" wrapText="1"/>
      <protection hidden="1"/>
    </xf>
    <xf numFmtId="169" fontId="5" fillId="2" borderId="0" xfId="5" applyNumberFormat="1" applyFont="1" applyFill="1" applyAlignment="1" applyProtection="1">
      <alignment wrapText="1"/>
      <protection hidden="1"/>
    </xf>
    <xf numFmtId="0" fontId="5" fillId="2" borderId="0" xfId="0" applyFont="1" applyFill="1" applyBorder="1" applyAlignment="1" applyProtection="1">
      <alignment wrapText="1"/>
      <protection hidden="1"/>
    </xf>
    <xf numFmtId="169" fontId="4" fillId="2" borderId="0" xfId="5" applyNumberFormat="1" applyFont="1" applyFill="1" applyAlignment="1" applyProtection="1">
      <alignment wrapText="1"/>
      <protection hidden="1"/>
    </xf>
    <xf numFmtId="164" fontId="5" fillId="2" borderId="0" xfId="0" applyNumberFormat="1" applyFont="1" applyFill="1" applyAlignment="1" applyProtection="1">
      <alignment wrapText="1"/>
      <protection hidden="1"/>
    </xf>
    <xf numFmtId="169" fontId="4" fillId="2" borderId="3" xfId="5" applyNumberFormat="1" applyFont="1" applyFill="1" applyBorder="1" applyAlignment="1" applyProtection="1">
      <alignment wrapText="1"/>
      <protection hidden="1"/>
    </xf>
    <xf numFmtId="0" fontId="4" fillId="2" borderId="3" xfId="0" applyFont="1" applyFill="1" applyBorder="1" applyAlignment="1" applyProtection="1">
      <alignment wrapText="1"/>
      <protection hidden="1"/>
    </xf>
    <xf numFmtId="165" fontId="10" fillId="2" borderId="0" xfId="1" applyNumberFormat="1" applyFont="1" applyFill="1" applyAlignment="1" applyProtection="1">
      <alignment horizontal="right" wrapText="1"/>
      <protection hidden="1"/>
    </xf>
    <xf numFmtId="165" fontId="5" fillId="2" borderId="0" xfId="0" applyNumberFormat="1" applyFont="1" applyFill="1" applyAlignment="1" applyProtection="1">
      <alignment horizontal="right" wrapText="1"/>
      <protection hidden="1"/>
    </xf>
    <xf numFmtId="175" fontId="5" fillId="2" borderId="0" xfId="1" applyNumberFormat="1" applyFont="1" applyFill="1" applyAlignment="1" applyProtection="1">
      <alignment horizontal="right" wrapText="1"/>
      <protection hidden="1"/>
    </xf>
    <xf numFmtId="165" fontId="10" fillId="2" borderId="3" xfId="1" applyNumberFormat="1" applyFont="1" applyFill="1" applyBorder="1" applyAlignment="1" applyProtection="1">
      <alignment horizontal="right" wrapText="1"/>
      <protection hidden="1"/>
    </xf>
    <xf numFmtId="165" fontId="5" fillId="2" borderId="3" xfId="0" applyNumberFormat="1" applyFont="1" applyFill="1" applyBorder="1" applyAlignment="1" applyProtection="1">
      <alignment horizontal="right" wrapText="1"/>
      <protection hidden="1"/>
    </xf>
    <xf numFmtId="165" fontId="19" fillId="2" borderId="0" xfId="0" applyNumberFormat="1" applyFont="1" applyFill="1" applyAlignment="1" applyProtection="1">
      <alignment horizontal="right" wrapText="1"/>
      <protection hidden="1"/>
    </xf>
    <xf numFmtId="0" fontId="16" fillId="3" borderId="0" xfId="0" applyFont="1" applyFill="1" applyAlignment="1" applyProtection="1">
      <alignment horizontal="right" vertical="top"/>
      <protection hidden="1"/>
    </xf>
    <xf numFmtId="0" fontId="16" fillId="3" borderId="0" xfId="1" applyFont="1" applyFill="1" applyBorder="1" applyAlignment="1" applyProtection="1">
      <alignment horizontal="right" wrapText="1"/>
      <protection hidden="1"/>
    </xf>
    <xf numFmtId="0" fontId="16" fillId="3" borderId="0" xfId="1" applyFont="1" applyFill="1" applyAlignment="1" applyProtection="1">
      <alignment horizontal="center" wrapText="1"/>
      <protection hidden="1"/>
    </xf>
    <xf numFmtId="0" fontId="5" fillId="2" borderId="0" xfId="1" applyFont="1" applyFill="1" applyAlignment="1" applyProtection="1">
      <alignment horizontal="center" wrapText="1"/>
      <protection hidden="1"/>
    </xf>
    <xf numFmtId="168" fontId="5" fillId="2" borderId="0" xfId="0" applyNumberFormat="1" applyFont="1" applyFill="1" applyAlignment="1" applyProtection="1">
      <alignment horizontal="right"/>
      <protection hidden="1"/>
    </xf>
    <xf numFmtId="165" fontId="5" fillId="2" borderId="0" xfId="1" applyNumberFormat="1" applyFont="1" applyFill="1" applyAlignment="1" applyProtection="1">
      <alignment horizontal="right" wrapText="1"/>
      <protection hidden="1"/>
    </xf>
    <xf numFmtId="0" fontId="5" fillId="2" borderId="0" xfId="1" applyFont="1" applyFill="1" applyBorder="1" applyAlignment="1" applyProtection="1">
      <alignment horizontal="left" vertical="top" wrapText="1"/>
      <protection hidden="1"/>
    </xf>
    <xf numFmtId="0" fontId="4" fillId="2" borderId="0" xfId="1" applyFont="1" applyFill="1" applyBorder="1" applyAlignment="1" applyProtection="1">
      <alignment vertical="top" wrapText="1"/>
      <protection hidden="1"/>
    </xf>
    <xf numFmtId="0" fontId="4" fillId="2" borderId="2" xfId="1" applyFont="1" applyFill="1" applyBorder="1" applyAlignment="1" applyProtection="1">
      <alignment vertical="top" wrapText="1"/>
      <protection hidden="1"/>
    </xf>
    <xf numFmtId="0" fontId="5" fillId="2" borderId="2" xfId="1" applyFont="1" applyFill="1" applyBorder="1" applyAlignment="1" applyProtection="1">
      <alignment vertical="top" wrapText="1"/>
      <protection hidden="1"/>
    </xf>
    <xf numFmtId="0" fontId="5" fillId="2" borderId="2" xfId="1" applyFont="1" applyFill="1" applyBorder="1" applyAlignment="1" applyProtection="1">
      <alignment horizontal="center" vertical="top" wrapText="1"/>
      <protection hidden="1"/>
    </xf>
    <xf numFmtId="2" fontId="5" fillId="2" borderId="0" xfId="0" applyNumberFormat="1" applyFont="1" applyFill="1" applyAlignment="1" applyProtection="1">
      <alignment horizontal="right"/>
      <protection hidden="1"/>
    </xf>
    <xf numFmtId="167" fontId="5" fillId="2" borderId="2" xfId="0" applyNumberFormat="1" applyFont="1" applyFill="1" applyBorder="1" applyAlignment="1" applyProtection="1">
      <alignment horizontal="right"/>
      <protection hidden="1"/>
    </xf>
    <xf numFmtId="0" fontId="0" fillId="2" borderId="18" xfId="1" applyFont="1" applyFill="1" applyBorder="1"/>
    <xf numFmtId="0" fontId="5" fillId="2" borderId="19" xfId="1" applyFont="1" applyFill="1" applyBorder="1" applyAlignment="1" applyProtection="1">
      <alignment vertical="top" wrapText="1"/>
      <protection hidden="1"/>
    </xf>
    <xf numFmtId="0" fontId="0" fillId="2" borderId="19" xfId="1" applyFont="1" applyFill="1" applyBorder="1" applyProtection="1">
      <protection hidden="1"/>
    </xf>
    <xf numFmtId="0" fontId="4" fillId="2" borderId="19" xfId="1" applyFont="1" applyFill="1" applyBorder="1" applyAlignment="1" applyProtection="1">
      <alignment vertical="top" wrapText="1"/>
      <protection hidden="1"/>
    </xf>
    <xf numFmtId="0" fontId="5" fillId="2" borderId="19" xfId="1" applyFont="1" applyFill="1" applyBorder="1" applyAlignment="1" applyProtection="1">
      <alignment horizontal="center" vertical="top" wrapText="1"/>
      <protection hidden="1"/>
    </xf>
    <xf numFmtId="0" fontId="5" fillId="2" borderId="19" xfId="1" applyFont="1" applyFill="1" applyBorder="1" applyAlignment="1" applyProtection="1">
      <alignment horizontal="center" vertical="top"/>
      <protection hidden="1"/>
    </xf>
    <xf numFmtId="0" fontId="5" fillId="0" borderId="0" xfId="0" applyFont="1" applyBorder="1" applyAlignment="1" applyProtection="1">
      <alignment wrapText="1"/>
      <protection hidden="1"/>
    </xf>
    <xf numFmtId="0" fontId="26" fillId="2" borderId="19" xfId="1" applyFont="1" applyFill="1" applyBorder="1" applyAlignment="1" applyProtection="1">
      <alignment vertical="top" wrapText="1"/>
      <protection hidden="1"/>
    </xf>
    <xf numFmtId="0" fontId="5" fillId="2" borderId="19" xfId="1" applyFont="1" applyFill="1" applyBorder="1" applyAlignment="1" applyProtection="1">
      <alignment horizontal="justify" vertical="top" wrapText="1"/>
      <protection hidden="1"/>
    </xf>
    <xf numFmtId="0" fontId="5" fillId="2" borderId="20" xfId="1" applyFont="1" applyFill="1" applyBorder="1" applyAlignment="1" applyProtection="1">
      <alignment vertical="top" wrapText="1"/>
      <protection hidden="1"/>
    </xf>
    <xf numFmtId="0" fontId="5" fillId="2" borderId="20" xfId="1" applyFont="1" applyFill="1" applyBorder="1" applyAlignment="1" applyProtection="1">
      <alignment horizontal="center" vertical="top" wrapText="1"/>
      <protection hidden="1"/>
    </xf>
    <xf numFmtId="0" fontId="0" fillId="2" borderId="1" xfId="1" applyFont="1" applyFill="1" applyBorder="1" applyProtection="1">
      <protection hidden="1"/>
    </xf>
    <xf numFmtId="0" fontId="27" fillId="2" borderId="0" xfId="1" applyFont="1" applyFill="1" applyAlignment="1" applyProtection="1">
      <alignment horizontal="center"/>
      <protection hidden="1"/>
    </xf>
    <xf numFmtId="0" fontId="5" fillId="2" borderId="0" xfId="1" applyFont="1" applyFill="1" applyAlignment="1" applyProtection="1">
      <alignment horizontal="left" wrapText="1"/>
      <protection hidden="1"/>
    </xf>
    <xf numFmtId="0" fontId="5" fillId="2" borderId="4" xfId="1" applyFont="1" applyFill="1" applyBorder="1" applyAlignment="1" applyProtection="1">
      <alignment horizontal="left" wrapText="1"/>
      <protection hidden="1"/>
    </xf>
    <xf numFmtId="0" fontId="32" fillId="2" borderId="0" xfId="2" applyFont="1" applyFill="1" applyBorder="1" applyAlignment="1" applyProtection="1">
      <alignment horizontal="left"/>
    </xf>
    <xf numFmtId="0" fontId="16" fillId="3" borderId="0" xfId="1" applyFont="1" applyFill="1" applyAlignment="1" applyProtection="1">
      <alignment horizontal="center" wrapText="1"/>
      <protection hidden="1"/>
    </xf>
    <xf numFmtId="0" fontId="5" fillId="2" borderId="0" xfId="1" applyFont="1" applyFill="1" applyBorder="1" applyAlignment="1" applyProtection="1">
      <alignment horizontal="left"/>
      <protection hidden="1"/>
    </xf>
    <xf numFmtId="0" fontId="16" fillId="3" borderId="0" xfId="1" applyFont="1" applyFill="1" applyAlignment="1" applyProtection="1">
      <alignment horizontal="center"/>
      <protection hidden="1"/>
    </xf>
    <xf numFmtId="0" fontId="5" fillId="2" borderId="0" xfId="1" applyFont="1" applyFill="1" applyAlignment="1" applyProtection="1">
      <alignment horizontal="left"/>
      <protection hidden="1"/>
    </xf>
    <xf numFmtId="0" fontId="19" fillId="3" borderId="0" xfId="1" applyFont="1" applyFill="1" applyAlignment="1" applyProtection="1">
      <alignment wrapText="1"/>
      <protection hidden="1"/>
    </xf>
    <xf numFmtId="0" fontId="19" fillId="2" borderId="0" xfId="1" applyFont="1" applyFill="1" applyAlignment="1" applyProtection="1">
      <alignment horizontal="center" wrapText="1"/>
      <protection hidden="1"/>
    </xf>
    <xf numFmtId="0" fontId="19" fillId="3" borderId="0" xfId="1" applyFont="1" applyFill="1" applyAlignment="1" applyProtection="1">
      <alignment horizontal="center" wrapText="1"/>
      <protection hidden="1"/>
    </xf>
    <xf numFmtId="0" fontId="16" fillId="3" borderId="0" xfId="1" applyFont="1" applyFill="1" applyBorder="1" applyAlignment="1" applyProtection="1">
      <alignment horizontal="center" wrapText="1"/>
      <protection hidden="1"/>
    </xf>
    <xf numFmtId="0" fontId="19" fillId="3" borderId="0" xfId="1" applyFont="1" applyFill="1" applyBorder="1" applyAlignment="1" applyProtection="1">
      <alignment horizontal="center" wrapText="1"/>
      <protection hidden="1"/>
    </xf>
    <xf numFmtId="0" fontId="4" fillId="2" borderId="2" xfId="1" applyFont="1" applyFill="1" applyBorder="1" applyAlignment="1" applyProtection="1">
      <alignment wrapText="1"/>
      <protection hidden="1"/>
    </xf>
    <xf numFmtId="0" fontId="4" fillId="2" borderId="0" xfId="1" applyFont="1" applyFill="1" applyBorder="1" applyAlignment="1" applyProtection="1">
      <alignment wrapText="1"/>
      <protection hidden="1"/>
    </xf>
    <xf numFmtId="0" fontId="19" fillId="3" borderId="2" xfId="1" applyFont="1" applyFill="1" applyBorder="1" applyAlignment="1" applyProtection="1">
      <alignment horizontal="center" wrapText="1"/>
      <protection hidden="1"/>
    </xf>
    <xf numFmtId="0" fontId="5" fillId="2" borderId="0" xfId="1" applyFont="1" applyFill="1" applyAlignment="1" applyProtection="1">
      <alignment horizontal="center" wrapText="1"/>
      <protection hidden="1"/>
    </xf>
    <xf numFmtId="0" fontId="4" fillId="2" borderId="0" xfId="1" applyFont="1" applyFill="1" applyAlignment="1" applyProtection="1">
      <alignment wrapText="1"/>
      <protection hidden="1"/>
    </xf>
    <xf numFmtId="165" fontId="5" fillId="2" borderId="0" xfId="1" applyNumberFormat="1" applyFont="1" applyFill="1" applyAlignment="1" applyProtection="1">
      <alignment horizontal="center" wrapText="1"/>
      <protection hidden="1"/>
    </xf>
    <xf numFmtId="0" fontId="16" fillId="3" borderId="0" xfId="1" applyFont="1" applyFill="1" applyAlignment="1" applyProtection="1">
      <alignment wrapText="1"/>
      <protection hidden="1"/>
    </xf>
    <xf numFmtId="0" fontId="16" fillId="3" borderId="0" xfId="1" applyFont="1" applyFill="1" applyAlignment="1" applyProtection="1">
      <alignment horizontal="center" vertical="top" wrapText="1"/>
      <protection hidden="1"/>
    </xf>
    <xf numFmtId="0" fontId="5" fillId="2" borderId="0" xfId="1" applyFont="1" applyFill="1" applyBorder="1" applyAlignment="1" applyProtection="1">
      <alignment horizontal="left" wrapText="1"/>
      <protection hidden="1"/>
    </xf>
    <xf numFmtId="0" fontId="5" fillId="2" borderId="7" xfId="1" applyFont="1" applyFill="1" applyBorder="1" applyAlignment="1" applyProtection="1">
      <alignment horizontal="left" vertical="top" wrapText="1"/>
      <protection hidden="1"/>
    </xf>
    <xf numFmtId="0" fontId="5" fillId="2" borderId="0" xfId="1" applyFont="1" applyFill="1" applyBorder="1" applyAlignment="1" applyProtection="1">
      <alignment horizontal="left" vertical="top" wrapText="1"/>
      <protection hidden="1"/>
    </xf>
    <xf numFmtId="0" fontId="5" fillId="2" borderId="9" xfId="1" applyFont="1" applyFill="1" applyBorder="1" applyAlignment="1" applyProtection="1">
      <alignment horizontal="left" vertical="top" wrapText="1"/>
      <protection hidden="1"/>
    </xf>
    <xf numFmtId="0" fontId="12" fillId="2" borderId="0" xfId="1" applyFont="1" applyFill="1" applyAlignment="1" applyProtection="1">
      <alignment horizontal="left" wrapText="1"/>
      <protection hidden="1"/>
    </xf>
    <xf numFmtId="0" fontId="4" fillId="2" borderId="9" xfId="1" applyFont="1" applyFill="1" applyBorder="1" applyAlignment="1" applyProtection="1">
      <alignment horizontal="left" vertical="top" wrapText="1"/>
      <protection hidden="1"/>
    </xf>
    <xf numFmtId="0" fontId="5" fillId="2" borderId="4" xfId="0" applyFont="1" applyFill="1" applyBorder="1" applyAlignment="1" applyProtection="1">
      <alignment horizontal="left" vertical="top" wrapText="1"/>
      <protection hidden="1"/>
    </xf>
    <xf numFmtId="0" fontId="26" fillId="0" borderId="7" xfId="1" applyFont="1" applyBorder="1" applyAlignment="1" applyProtection="1">
      <alignment horizontal="left"/>
      <protection hidden="1"/>
    </xf>
    <xf numFmtId="0" fontId="26" fillId="0" borderId="0" xfId="1" applyFont="1" applyAlignment="1" applyProtection="1">
      <alignment horizontal="left"/>
      <protection hidden="1"/>
    </xf>
    <xf numFmtId="0" fontId="26" fillId="0" borderId="9" xfId="1" applyFont="1" applyBorder="1" applyAlignment="1" applyProtection="1">
      <alignment horizontal="left"/>
      <protection hidden="1"/>
    </xf>
    <xf numFmtId="9" fontId="5" fillId="2" borderId="8" xfId="1" applyNumberFormat="1" applyFont="1" applyFill="1" applyBorder="1" applyAlignment="1" applyProtection="1">
      <alignment horizontal="center" vertical="top" wrapText="1"/>
      <protection hidden="1"/>
    </xf>
    <xf numFmtId="9" fontId="5" fillId="2" borderId="0" xfId="1" applyNumberFormat="1" applyFont="1" applyFill="1" applyBorder="1" applyAlignment="1" applyProtection="1">
      <alignment horizontal="center" vertical="top" wrapText="1"/>
      <protection hidden="1"/>
    </xf>
    <xf numFmtId="0" fontId="4" fillId="2" borderId="16" xfId="1" applyFont="1" applyFill="1" applyBorder="1" applyAlignment="1" applyProtection="1">
      <alignment horizontal="left" vertical="top" wrapText="1"/>
      <protection hidden="1"/>
    </xf>
    <xf numFmtId="0" fontId="5" fillId="2" borderId="10" xfId="1" applyFont="1" applyFill="1" applyBorder="1" applyAlignment="1" applyProtection="1">
      <alignment horizontal="left" vertical="top" wrapText="1"/>
      <protection hidden="1"/>
    </xf>
    <xf numFmtId="0" fontId="5" fillId="2" borderId="8" xfId="1" applyFont="1" applyFill="1" applyBorder="1" applyAlignment="1" applyProtection="1">
      <alignment horizontal="left" vertical="top" wrapText="1"/>
      <protection hidden="1"/>
    </xf>
    <xf numFmtId="0" fontId="5" fillId="2" borderId="5" xfId="1" applyFont="1" applyFill="1" applyBorder="1" applyAlignment="1" applyProtection="1">
      <alignment horizontal="left" vertical="top" wrapText="1"/>
      <protection hidden="1"/>
    </xf>
    <xf numFmtId="0" fontId="5" fillId="2" borderId="3" xfId="1" applyFont="1" applyFill="1" applyBorder="1" applyAlignment="1" applyProtection="1">
      <alignment horizontal="left" vertical="top" wrapText="1"/>
      <protection hidden="1"/>
    </xf>
    <xf numFmtId="0" fontId="5" fillId="2" borderId="15" xfId="1" applyFont="1" applyFill="1" applyBorder="1" applyAlignment="1" applyProtection="1">
      <alignment horizontal="left" vertical="top" wrapText="1"/>
      <protection hidden="1"/>
    </xf>
    <xf numFmtId="0" fontId="12" fillId="0" borderId="0" xfId="1" applyFont="1" applyAlignment="1" applyProtection="1">
      <alignment horizontal="left" wrapText="1"/>
      <protection hidden="1"/>
    </xf>
    <xf numFmtId="0" fontId="5" fillId="2" borderId="17" xfId="1" applyFont="1" applyFill="1" applyBorder="1" applyAlignment="1" applyProtection="1">
      <alignment horizontal="left" vertical="top" wrapText="1"/>
      <protection hidden="1"/>
    </xf>
    <xf numFmtId="0" fontId="5" fillId="0" borderId="4" xfId="1" applyFont="1" applyBorder="1" applyAlignment="1" applyProtection="1">
      <alignment horizontal="left"/>
      <protection hidden="1"/>
    </xf>
    <xf numFmtId="0" fontId="4" fillId="0" borderId="4" xfId="1" applyFont="1" applyBorder="1" applyAlignment="1" applyProtection="1">
      <alignment horizontal="left"/>
      <protection hidden="1"/>
    </xf>
    <xf numFmtId="0" fontId="16" fillId="3" borderId="0" xfId="1" applyFont="1" applyFill="1" applyAlignment="1" applyProtection="1">
      <alignment horizontal="center" vertical="center" textRotation="90" wrapText="1"/>
      <protection hidden="1"/>
    </xf>
    <xf numFmtId="0" fontId="19" fillId="2" borderId="9" xfId="1" applyFont="1" applyFill="1" applyBorder="1" applyAlignment="1" applyProtection="1">
      <alignment horizontal="left" vertical="top" wrapText="1"/>
      <protection hidden="1"/>
    </xf>
    <xf numFmtId="9" fontId="19" fillId="2" borderId="0" xfId="1" applyNumberFormat="1" applyFont="1" applyFill="1" applyBorder="1" applyAlignment="1" applyProtection="1">
      <alignment horizontal="center" vertical="top" wrapText="1"/>
      <protection hidden="1"/>
    </xf>
    <xf numFmtId="0" fontId="5" fillId="2" borderId="10" xfId="1" applyFont="1" applyFill="1" applyBorder="1" applyProtection="1">
      <protection hidden="1"/>
    </xf>
    <xf numFmtId="0" fontId="4" fillId="2" borderId="0" xfId="1" applyFont="1" applyFill="1" applyBorder="1" applyAlignment="1" applyProtection="1">
      <alignment horizontal="center" wrapText="1"/>
      <protection hidden="1"/>
    </xf>
    <xf numFmtId="0" fontId="4" fillId="0" borderId="4" xfId="3" applyFont="1" applyBorder="1" applyAlignment="1" applyProtection="1">
      <alignment horizontal="center" wrapText="1"/>
      <protection hidden="1"/>
    </xf>
    <xf numFmtId="165" fontId="4" fillId="0" borderId="4" xfId="3" applyNumberFormat="1" applyFont="1" applyFill="1" applyBorder="1" applyAlignment="1" applyProtection="1">
      <alignment horizontal="center" wrapText="1"/>
      <protection hidden="1"/>
    </xf>
    <xf numFmtId="166" fontId="4" fillId="2" borderId="0" xfId="5" applyNumberFormat="1" applyFont="1" applyFill="1" applyBorder="1" applyAlignment="1" applyProtection="1">
      <alignment horizontal="center" wrapText="1"/>
      <protection hidden="1"/>
    </xf>
    <xf numFmtId="0" fontId="5" fillId="2" borderId="4" xfId="1" applyFont="1" applyFill="1" applyBorder="1" applyAlignment="1" applyProtection="1">
      <alignment horizontal="center" wrapText="1"/>
      <protection hidden="1"/>
    </xf>
    <xf numFmtId="0" fontId="4" fillId="2" borderId="4" xfId="1" applyFont="1" applyFill="1" applyBorder="1" applyAlignment="1" applyProtection="1">
      <alignment horizontal="center" wrapText="1"/>
      <protection hidden="1"/>
    </xf>
    <xf numFmtId="0" fontId="4" fillId="2" borderId="0" xfId="1" applyFont="1" applyFill="1" applyAlignment="1" applyProtection="1">
      <alignment horizontal="center" wrapText="1"/>
      <protection hidden="1"/>
    </xf>
    <xf numFmtId="0" fontId="16" fillId="3" borderId="4" xfId="1" applyFont="1" applyFill="1" applyBorder="1" applyAlignment="1" applyProtection="1">
      <alignment horizontal="center" wrapText="1"/>
      <protection hidden="1"/>
    </xf>
    <xf numFmtId="0" fontId="3" fillId="2" borderId="0" xfId="1" applyFont="1" applyFill="1" applyBorder="1" applyAlignment="1">
      <alignment horizontal="center" vertical="top" wrapText="1"/>
    </xf>
    <xf numFmtId="0" fontId="5" fillId="4" borderId="0" xfId="1" applyFont="1" applyFill="1" applyBorder="1" applyAlignment="1" applyProtection="1">
      <alignment vertical="top" wrapText="1"/>
      <protection hidden="1"/>
    </xf>
    <xf numFmtId="0" fontId="5" fillId="4" borderId="0" xfId="1" applyFont="1" applyFill="1" applyBorder="1" applyAlignment="1" applyProtection="1">
      <alignment horizontal="center" vertical="top" wrapText="1"/>
      <protection hidden="1"/>
    </xf>
    <xf numFmtId="0" fontId="5" fillId="2" borderId="0" xfId="1" applyFont="1" applyFill="1" applyBorder="1" applyAlignment="1" applyProtection="1">
      <alignment vertical="top" wrapText="1"/>
      <protection hidden="1"/>
    </xf>
    <xf numFmtId="0" fontId="5" fillId="2" borderId="19" xfId="1" applyFont="1" applyFill="1" applyBorder="1" applyAlignment="1" applyProtection="1">
      <alignment vertical="top" wrapText="1"/>
      <protection hidden="1"/>
    </xf>
    <xf numFmtId="0" fontId="4" fillId="2" borderId="2" xfId="1" applyFont="1" applyFill="1" applyBorder="1" applyAlignment="1" applyProtection="1">
      <alignment vertical="top" wrapText="1"/>
      <protection hidden="1"/>
    </xf>
    <xf numFmtId="0" fontId="4" fillId="2" borderId="0" xfId="1" applyFont="1" applyFill="1" applyBorder="1" applyAlignment="1" applyProtection="1">
      <alignment vertical="top" wrapText="1"/>
      <protection hidden="1"/>
    </xf>
    <xf numFmtId="0" fontId="5" fillId="2" borderId="0" xfId="1" applyFont="1" applyFill="1" applyBorder="1" applyAlignment="1" applyProtection="1">
      <alignment horizontal="center" vertical="top" wrapText="1"/>
      <protection hidden="1"/>
    </xf>
    <xf numFmtId="0" fontId="4" fillId="2" borderId="0" xfId="1" applyFont="1" applyFill="1" applyAlignment="1" applyProtection="1">
      <alignment vertical="top" wrapText="1"/>
      <protection hidden="1"/>
    </xf>
    <xf numFmtId="0" fontId="19" fillId="2" borderId="0" xfId="1" applyFont="1" applyFill="1" applyBorder="1" applyAlignment="1" applyProtection="1">
      <alignment horizontal="center" vertical="top" wrapText="1"/>
      <protection hidden="1"/>
    </xf>
    <xf numFmtId="0" fontId="4" fillId="2" borderId="20" xfId="1" applyFont="1" applyFill="1" applyBorder="1" applyAlignment="1" applyProtection="1">
      <alignment vertical="top" wrapText="1"/>
      <protection hidden="1"/>
    </xf>
    <xf numFmtId="0" fontId="4" fillId="2" borderId="19" xfId="1" applyFont="1" applyFill="1" applyBorder="1" applyAlignment="1" applyProtection="1">
      <alignment vertical="top" wrapText="1"/>
      <protection hidden="1"/>
    </xf>
    <xf numFmtId="0" fontId="5" fillId="4" borderId="20" xfId="1" applyFont="1" applyFill="1" applyBorder="1" applyAlignment="1" applyProtection="1">
      <alignment horizontal="center" vertical="top" wrapText="1"/>
      <protection hidden="1"/>
    </xf>
    <xf numFmtId="0" fontId="5" fillId="4" borderId="19" xfId="1" applyFont="1" applyFill="1" applyBorder="1" applyAlignment="1" applyProtection="1">
      <alignment horizontal="center" vertical="top" wrapText="1"/>
      <protection hidden="1"/>
    </xf>
    <xf numFmtId="0" fontId="19" fillId="2" borderId="0" xfId="1" applyFont="1" applyFill="1" applyBorder="1" applyAlignment="1" applyProtection="1">
      <alignment vertical="top" wrapText="1"/>
      <protection hidden="1"/>
    </xf>
    <xf numFmtId="0" fontId="5" fillId="4" borderId="19" xfId="1" applyFont="1" applyFill="1" applyBorder="1" applyAlignment="1" applyProtection="1">
      <alignment vertical="top" wrapText="1"/>
      <protection hidden="1"/>
    </xf>
    <xf numFmtId="0" fontId="5" fillId="2" borderId="0" xfId="0" applyFont="1" applyFill="1" applyBorder="1" applyAlignment="1" applyProtection="1">
      <alignment horizontal="left" vertical="top" wrapText="1"/>
      <protection hidden="1"/>
    </xf>
    <xf numFmtId="0" fontId="5" fillId="4" borderId="20" xfId="1" applyFont="1" applyFill="1" applyBorder="1" applyAlignment="1" applyProtection="1">
      <alignment vertical="top" wrapText="1"/>
      <protection hidden="1"/>
    </xf>
    <xf numFmtId="0" fontId="4" fillId="2" borderId="4" xfId="1" applyFont="1" applyFill="1" applyBorder="1" applyAlignment="1" applyProtection="1">
      <alignment vertical="top" wrapText="1"/>
      <protection hidden="1"/>
    </xf>
    <xf numFmtId="0" fontId="5" fillId="2" borderId="11" xfId="1" applyFont="1" applyFill="1" applyBorder="1" applyAlignment="1" applyProtection="1">
      <alignment vertical="top" wrapText="1"/>
      <protection hidden="1"/>
    </xf>
    <xf numFmtId="0" fontId="4" fillId="2" borderId="16" xfId="1" applyFont="1" applyFill="1" applyBorder="1" applyAlignment="1" applyProtection="1">
      <alignment vertical="top" wrapText="1"/>
      <protection hidden="1"/>
    </xf>
    <xf numFmtId="0" fontId="32" fillId="2" borderId="0" xfId="2" applyFont="1" applyFill="1" applyBorder="1" applyAlignment="1" applyProtection="1">
      <alignment horizontal="left"/>
      <protection hidden="1"/>
    </xf>
    <xf numFmtId="0" fontId="12" fillId="0" borderId="4" xfId="1" applyFont="1" applyBorder="1" applyAlignment="1" applyProtection="1">
      <alignment horizontal="left" wrapText="1"/>
      <protection hidden="1"/>
    </xf>
    <xf numFmtId="0" fontId="38" fillId="0" borderId="4" xfId="1" applyFont="1" applyBorder="1" applyAlignment="1" applyProtection="1">
      <alignment horizontal="left" wrapText="1"/>
      <protection hidden="1"/>
    </xf>
    <xf numFmtId="0" fontId="38" fillId="0" borderId="0" xfId="1" applyFont="1" applyBorder="1" applyAlignment="1" applyProtection="1">
      <alignment horizontal="left" wrapText="1"/>
      <protection hidden="1"/>
    </xf>
    <xf numFmtId="0" fontId="12" fillId="2" borderId="0" xfId="1" applyFont="1" applyFill="1" applyAlignment="1" applyProtection="1">
      <alignment horizontal="left"/>
      <protection hidden="1"/>
    </xf>
    <xf numFmtId="0" fontId="12" fillId="2" borderId="4" xfId="1" applyFont="1" applyFill="1" applyBorder="1" applyAlignment="1" applyProtection="1">
      <alignment horizontal="left" wrapText="1"/>
      <protection hidden="1"/>
    </xf>
    <xf numFmtId="167" fontId="5" fillId="2" borderId="0" xfId="1" applyNumberFormat="1" applyFont="1" applyFill="1" applyAlignment="1" applyProtection="1">
      <alignment horizontal="right" wrapText="1"/>
      <protection hidden="1"/>
    </xf>
    <xf numFmtId="165" fontId="5" fillId="2" borderId="0" xfId="1" applyNumberFormat="1" applyFont="1" applyFill="1" applyAlignment="1" applyProtection="1">
      <alignment horizontal="right" wrapText="1"/>
      <protection hidden="1"/>
    </xf>
    <xf numFmtId="167" fontId="4" fillId="2" borderId="3" xfId="1" applyNumberFormat="1" applyFont="1" applyFill="1" applyBorder="1" applyAlignment="1" applyProtection="1">
      <alignment horizontal="right" wrapText="1"/>
      <protection hidden="1"/>
    </xf>
    <xf numFmtId="165" fontId="4" fillId="2" borderId="3" xfId="1" applyNumberFormat="1" applyFont="1" applyFill="1" applyBorder="1" applyAlignment="1" applyProtection="1">
      <alignment horizontal="right" wrapText="1"/>
      <protection hidden="1"/>
    </xf>
    <xf numFmtId="0" fontId="0" fillId="2" borderId="0" xfId="1" applyFont="1" applyFill="1" applyAlignment="1" applyProtection="1">
      <alignment horizontal="center"/>
      <protection hidden="1"/>
    </xf>
    <xf numFmtId="0" fontId="5" fillId="2" borderId="2" xfId="1" applyFont="1" applyFill="1" applyBorder="1" applyAlignment="1" applyProtection="1">
      <alignment horizontal="left" vertical="center" wrapText="1"/>
      <protection hidden="1"/>
    </xf>
    <xf numFmtId="0" fontId="5" fillId="2" borderId="1" xfId="1" applyFont="1" applyFill="1" applyBorder="1" applyAlignment="1" applyProtection="1">
      <alignment horizontal="left" vertical="center" wrapText="1"/>
      <protection hidden="1"/>
    </xf>
    <xf numFmtId="0" fontId="5" fillId="2" borderId="2" xfId="1" applyFont="1" applyFill="1" applyBorder="1" applyAlignment="1" applyProtection="1">
      <alignment horizontal="left" vertical="top" wrapText="1"/>
      <protection hidden="1"/>
    </xf>
    <xf numFmtId="0" fontId="5" fillId="2" borderId="1" xfId="1" applyFont="1" applyFill="1" applyBorder="1" applyAlignment="1" applyProtection="1">
      <alignment horizontal="left" vertical="top" wrapText="1"/>
      <protection hidden="1"/>
    </xf>
    <xf numFmtId="0" fontId="12" fillId="2" borderId="0" xfId="1" applyFont="1" applyFill="1" applyBorder="1" applyAlignment="1" applyProtection="1">
      <alignment horizontal="left" vertical="top" wrapText="1"/>
      <protection hidden="1"/>
    </xf>
    <xf numFmtId="0" fontId="5" fillId="2" borderId="4" xfId="1" applyFont="1" applyFill="1" applyBorder="1" applyAlignment="1" applyProtection="1">
      <alignment horizontal="left"/>
      <protection hidden="1"/>
    </xf>
    <xf numFmtId="0" fontId="12" fillId="0" borderId="0" xfId="1" applyFont="1" applyAlignment="1" applyProtection="1">
      <alignment horizontal="left"/>
      <protection hidden="1"/>
    </xf>
    <xf numFmtId="0" fontId="4" fillId="4" borderId="0" xfId="1" applyFont="1" applyFill="1" applyBorder="1" applyAlignment="1" applyProtection="1">
      <alignment horizontal="left" wrapText="1"/>
      <protection hidden="1"/>
    </xf>
    <xf numFmtId="0" fontId="4" fillId="4" borderId="0" xfId="1" applyFont="1" applyFill="1" applyAlignment="1" applyProtection="1">
      <alignment horizontal="left" wrapText="1"/>
      <protection hidden="1"/>
    </xf>
    <xf numFmtId="0" fontId="4" fillId="2" borderId="0" xfId="1" applyFont="1" applyFill="1" applyAlignment="1" applyProtection="1">
      <alignment horizontal="left" vertical="top" wrapText="1" indent="2"/>
      <protection hidden="1"/>
    </xf>
    <xf numFmtId="0" fontId="4" fillId="2" borderId="1" xfId="1" applyFont="1" applyFill="1" applyBorder="1" applyAlignment="1" applyProtection="1">
      <alignment horizontal="center" wrapText="1"/>
      <protection hidden="1"/>
    </xf>
    <xf numFmtId="0" fontId="5" fillId="2" borderId="3" xfId="1" applyFont="1" applyFill="1" applyBorder="1" applyAlignment="1" applyProtection="1">
      <alignment horizontal="left" vertical="center" wrapText="1"/>
      <protection hidden="1"/>
    </xf>
    <xf numFmtId="0" fontId="4" fillId="2" borderId="4" xfId="1" applyFont="1" applyFill="1" applyBorder="1" applyAlignment="1" applyProtection="1">
      <alignment horizontal="center" vertical="top" wrapText="1"/>
      <protection hidden="1"/>
    </xf>
    <xf numFmtId="0" fontId="16" fillId="2" borderId="4" xfId="1" applyFont="1" applyFill="1" applyBorder="1" applyAlignment="1" applyProtection="1">
      <alignment horizontal="center" vertical="top" wrapText="1"/>
      <protection hidden="1"/>
    </xf>
    <xf numFmtId="0" fontId="5" fillId="2" borderId="4" xfId="1" applyFont="1" applyFill="1" applyBorder="1" applyAlignment="1" applyProtection="1">
      <alignment horizontal="justify"/>
      <protection hidden="1"/>
    </xf>
    <xf numFmtId="0" fontId="16" fillId="3" borderId="0" xfId="0" applyFont="1" applyFill="1" applyAlignment="1" applyProtection="1">
      <alignment horizontal="center"/>
      <protection hidden="1"/>
    </xf>
    <xf numFmtId="0" fontId="41" fillId="3" borderId="0" xfId="1" applyFont="1" applyFill="1" applyAlignment="1" applyProtection="1">
      <alignment horizontal="center"/>
      <protection hidden="1"/>
    </xf>
    <xf numFmtId="0" fontId="5" fillId="2" borderId="4" xfId="1" applyFont="1" applyFill="1" applyBorder="1" applyAlignment="1" applyProtection="1">
      <alignment wrapText="1"/>
      <protection hidden="1"/>
    </xf>
    <xf numFmtId="0" fontId="16" fillId="3" borderId="0" xfId="1" applyFont="1" applyFill="1" applyBorder="1" applyAlignment="1" applyProtection="1">
      <alignment vertical="top" wrapText="1"/>
      <protection hidden="1"/>
    </xf>
    <xf numFmtId="0" fontId="5" fillId="2" borderId="0" xfId="1" applyFont="1" applyFill="1" applyAlignment="1" applyProtection="1">
      <alignment horizontal="left" vertical="top" wrapText="1"/>
      <protection hidden="1"/>
    </xf>
    <xf numFmtId="0" fontId="4" fillId="2" borderId="1" xfId="1" applyFont="1" applyFill="1" applyBorder="1" applyAlignment="1" applyProtection="1">
      <alignment horizontal="left" vertical="top" wrapText="1" indent="2"/>
      <protection hidden="1"/>
    </xf>
    <xf numFmtId="0" fontId="5" fillId="2" borderId="0" xfId="1" applyFont="1" applyFill="1" applyBorder="1" applyAlignment="1" applyProtection="1">
      <alignment horizontal="left" vertical="top" wrapText="1" indent="2"/>
      <protection hidden="1"/>
    </xf>
    <xf numFmtId="0" fontId="4" fillId="2" borderId="3" xfId="1" applyFont="1" applyFill="1" applyBorder="1" applyAlignment="1" applyProtection="1">
      <alignment horizontal="left" vertical="top" wrapText="1" indent="2"/>
      <protection hidden="1"/>
    </xf>
    <xf numFmtId="0" fontId="37" fillId="2" borderId="0" xfId="2" applyFont="1" applyFill="1" applyBorder="1" applyAlignment="1" applyProtection="1">
      <alignment horizontal="left"/>
      <protection hidden="1"/>
    </xf>
    <xf numFmtId="0" fontId="5" fillId="2" borderId="0" xfId="1" applyFont="1" applyFill="1" applyAlignment="1" applyProtection="1">
      <alignment wrapText="1"/>
      <protection hidden="1"/>
    </xf>
    <xf numFmtId="0" fontId="5" fillId="2" borderId="0" xfId="1" applyFont="1" applyFill="1" applyAlignment="1" applyProtection="1">
      <alignment horizontal="left" wrapText="1" indent="2"/>
      <protection hidden="1"/>
    </xf>
    <xf numFmtId="0" fontId="5" fillId="2" borderId="0" xfId="1" applyFont="1" applyFill="1" applyAlignment="1" applyProtection="1">
      <alignment horizontal="left" wrapText="1" indent="1"/>
      <protection hidden="1"/>
    </xf>
    <xf numFmtId="0" fontId="5" fillId="2" borderId="1" xfId="1" applyFont="1" applyFill="1" applyBorder="1" applyAlignment="1" applyProtection="1">
      <alignment horizontal="left" wrapText="1" indent="2"/>
      <protection hidden="1"/>
    </xf>
    <xf numFmtId="0" fontId="4" fillId="2" borderId="3" xfId="1" applyFont="1" applyFill="1" applyBorder="1" applyAlignment="1" applyProtection="1">
      <alignment horizontal="left" wrapText="1"/>
      <protection hidden="1"/>
    </xf>
    <xf numFmtId="0" fontId="20" fillId="2" borderId="0" xfId="1" applyFont="1" applyFill="1" applyAlignment="1" applyProtection="1">
      <alignment vertical="top" wrapText="1"/>
      <protection hidden="1"/>
    </xf>
    <xf numFmtId="0" fontId="20" fillId="2" borderId="0" xfId="1" applyFont="1" applyFill="1" applyAlignment="1" applyProtection="1">
      <alignment wrapText="1"/>
      <protection hidden="1"/>
    </xf>
    <xf numFmtId="0" fontId="5" fillId="2" borderId="0" xfId="0" applyFont="1" applyFill="1" applyAlignment="1" applyProtection="1">
      <alignment vertical="top" wrapText="1"/>
      <protection hidden="1"/>
    </xf>
    <xf numFmtId="0" fontId="28" fillId="2" borderId="0" xfId="1" applyFont="1" applyFill="1" applyAlignment="1" applyProtection="1">
      <alignment horizontal="left" wrapText="1"/>
      <protection hidden="1"/>
    </xf>
  </cellXfs>
  <cellStyles count="6">
    <cellStyle name="AFE" xfId="1"/>
    <cellStyle name="Гиперссылка" xfId="2" builtinId="8"/>
    <cellStyle name="Обычный" xfId="0" builtinId="0"/>
    <cellStyle name="Обычный_Stat_2009" xfId="3"/>
    <cellStyle name="Процентный" xfId="4" builtinId="5"/>
    <cellStyle name="Финансовый" xfId="5"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1333500</xdr:colOff>
      <xdr:row>1</xdr:row>
      <xdr:rowOff>137160</xdr:rowOff>
    </xdr:from>
    <xdr:to>
      <xdr:col>0</xdr:col>
      <xdr:colOff>4625340</xdr:colOff>
      <xdr:row>11</xdr:row>
      <xdr:rowOff>38100</xdr:rowOff>
    </xdr:to>
    <xdr:pic>
      <xdr:nvPicPr>
        <xdr:cNvPr id="1277" name="Picture 8" descr="GP block 2935 en stn"/>
        <xdr:cNvPicPr>
          <a:picLocks noChangeAspect="1" noChangeArrowheads="1"/>
        </xdr:cNvPicPr>
      </xdr:nvPicPr>
      <xdr:blipFill>
        <a:blip xmlns:r="http://schemas.openxmlformats.org/officeDocument/2006/relationships" r:embed="rId1" cstate="print"/>
        <a:srcRect/>
        <a:stretch>
          <a:fillRect/>
        </a:stretch>
      </xdr:blipFill>
      <xdr:spPr bwMode="auto">
        <a:xfrm>
          <a:off x="1333500" y="304800"/>
          <a:ext cx="3291840" cy="157734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228600</xdr:rowOff>
    </xdr:from>
    <xdr:to>
      <xdr:col>7</xdr:col>
      <xdr:colOff>0</xdr:colOff>
      <xdr:row>11</xdr:row>
      <xdr:rowOff>7620</xdr:rowOff>
    </xdr:to>
    <xdr:pic>
      <xdr:nvPicPr>
        <xdr:cNvPr id="27928" name="Рисунок 1" descr="Gazprom’s Operational and Prospective ugsfs in Russia copy.gif"/>
        <xdr:cNvPicPr>
          <a:picLocks noChangeAspect="1"/>
        </xdr:cNvPicPr>
      </xdr:nvPicPr>
      <xdr:blipFill>
        <a:blip xmlns:r="http://schemas.openxmlformats.org/officeDocument/2006/relationships" r:embed="rId1" cstate="print"/>
        <a:srcRect/>
        <a:stretch>
          <a:fillRect/>
        </a:stretch>
      </xdr:blipFill>
      <xdr:spPr bwMode="auto">
        <a:xfrm>
          <a:off x="0" y="426720"/>
          <a:ext cx="6926580" cy="3970020"/>
        </a:xfrm>
        <a:prstGeom prst="rect">
          <a:avLst/>
        </a:prstGeom>
        <a:noFill/>
        <a:ln w="9525">
          <a:noFill/>
          <a:miter lim="800000"/>
          <a:headEnd/>
          <a:tailEnd/>
        </a:ln>
      </xdr:spPr>
    </xdr:pic>
    <xdr:clientData/>
  </xdr:twoCellAnchor>
  <xdr:twoCellAnchor editAs="oneCell">
    <xdr:from>
      <xdr:col>0</xdr:col>
      <xdr:colOff>0</xdr:colOff>
      <xdr:row>38</xdr:row>
      <xdr:rowOff>274320</xdr:rowOff>
    </xdr:from>
    <xdr:to>
      <xdr:col>7</xdr:col>
      <xdr:colOff>0</xdr:colOff>
      <xdr:row>47</xdr:row>
      <xdr:rowOff>243840</xdr:rowOff>
    </xdr:to>
    <xdr:pic>
      <xdr:nvPicPr>
        <xdr:cNvPr id="27929" name="Рисунок 2" descr="Operational and Prospective UGSFS Abroad copy.gif"/>
        <xdr:cNvPicPr>
          <a:picLocks noChangeAspect="1"/>
        </xdr:cNvPicPr>
      </xdr:nvPicPr>
      <xdr:blipFill>
        <a:blip xmlns:r="http://schemas.openxmlformats.org/officeDocument/2006/relationships" r:embed="rId2" cstate="print"/>
        <a:srcRect/>
        <a:stretch>
          <a:fillRect/>
        </a:stretch>
      </xdr:blipFill>
      <xdr:spPr bwMode="auto">
        <a:xfrm>
          <a:off x="0" y="9532620"/>
          <a:ext cx="6926580" cy="431292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83820</xdr:rowOff>
    </xdr:from>
    <xdr:to>
      <xdr:col>5</xdr:col>
      <xdr:colOff>1912620</xdr:colOff>
      <xdr:row>11</xdr:row>
      <xdr:rowOff>236220</xdr:rowOff>
    </xdr:to>
    <xdr:pic>
      <xdr:nvPicPr>
        <xdr:cNvPr id="40071" name="Рисунок 1" descr="LOCATION OF GAS PROCESSING, OIL REFINING AND PETROCHEMICAL PLANTS copy.gif"/>
        <xdr:cNvPicPr>
          <a:picLocks noChangeAspect="1"/>
        </xdr:cNvPicPr>
      </xdr:nvPicPr>
      <xdr:blipFill>
        <a:blip xmlns:r="http://schemas.openxmlformats.org/officeDocument/2006/relationships" r:embed="rId1" cstate="print"/>
        <a:srcRect/>
        <a:stretch>
          <a:fillRect/>
        </a:stretch>
      </xdr:blipFill>
      <xdr:spPr bwMode="auto">
        <a:xfrm>
          <a:off x="0" y="281940"/>
          <a:ext cx="6926580" cy="48768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0</xdr:colOff>
      <xdr:row>4</xdr:row>
      <xdr:rowOff>68580</xdr:rowOff>
    </xdr:to>
    <xdr:pic>
      <xdr:nvPicPr>
        <xdr:cNvPr id="31880" name="Рисунок 1" descr="SALES STRUCTURE OF GAZPROM GROUP.gif"/>
        <xdr:cNvPicPr>
          <a:picLocks noChangeAspect="1"/>
        </xdr:cNvPicPr>
      </xdr:nvPicPr>
      <xdr:blipFill>
        <a:blip xmlns:r="http://schemas.openxmlformats.org/officeDocument/2006/relationships" r:embed="rId1" cstate="print"/>
        <a:srcRect/>
        <a:stretch>
          <a:fillRect/>
        </a:stretch>
      </xdr:blipFill>
      <xdr:spPr bwMode="auto">
        <a:xfrm>
          <a:off x="0" y="472440"/>
          <a:ext cx="6903720" cy="295656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45720</xdr:rowOff>
    </xdr:from>
    <xdr:to>
      <xdr:col>7</xdr:col>
      <xdr:colOff>510540</xdr:colOff>
      <xdr:row>38</xdr:row>
      <xdr:rowOff>38100</xdr:rowOff>
    </xdr:to>
    <xdr:pic>
      <xdr:nvPicPr>
        <xdr:cNvPr id="3217" name="Рисунок 1" descr="Oil price dynamics (Brent).gif"/>
        <xdr:cNvPicPr>
          <a:picLocks noChangeAspect="1"/>
        </xdr:cNvPicPr>
      </xdr:nvPicPr>
      <xdr:blipFill>
        <a:blip xmlns:r="http://schemas.openxmlformats.org/officeDocument/2006/relationships" r:embed="rId1" cstate="print"/>
        <a:srcRect/>
        <a:stretch>
          <a:fillRect/>
        </a:stretch>
      </xdr:blipFill>
      <xdr:spPr bwMode="auto">
        <a:xfrm>
          <a:off x="0" y="3985260"/>
          <a:ext cx="6888480" cy="30022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xdr:colOff>
      <xdr:row>34</xdr:row>
      <xdr:rowOff>68580</xdr:rowOff>
    </xdr:from>
    <xdr:to>
      <xdr:col>7</xdr:col>
      <xdr:colOff>491490</xdr:colOff>
      <xdr:row>53</xdr:row>
      <xdr:rowOff>91440</xdr:rowOff>
    </xdr:to>
    <xdr:pic>
      <xdr:nvPicPr>
        <xdr:cNvPr id="4238" name="Рисунок 1" descr="OAO Gazprom’s ordinary shares (MICEX) and MICEX index.gif"/>
        <xdr:cNvPicPr>
          <a:picLocks noChangeAspect="1"/>
        </xdr:cNvPicPr>
      </xdr:nvPicPr>
      <xdr:blipFill>
        <a:blip xmlns:r="http://schemas.openxmlformats.org/officeDocument/2006/relationships" r:embed="rId1" cstate="print"/>
        <a:srcRect/>
        <a:stretch>
          <a:fillRect/>
        </a:stretch>
      </xdr:blipFill>
      <xdr:spPr bwMode="auto">
        <a:xfrm>
          <a:off x="30480" y="6195060"/>
          <a:ext cx="6865620" cy="304038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323850</xdr:colOff>
      <xdr:row>0</xdr:row>
      <xdr:rowOff>83820</xdr:rowOff>
    </xdr:from>
    <xdr:to>
      <xdr:col>2</xdr:col>
      <xdr:colOff>575369</xdr:colOff>
      <xdr:row>1</xdr:row>
      <xdr:rowOff>198315</xdr:rowOff>
    </xdr:to>
    <xdr:sp macro="" textlink="">
      <xdr:nvSpPr>
        <xdr:cNvPr id="5121" name="Rectangle 1"/>
        <xdr:cNvSpPr>
          <a:spLocks noChangeArrowheads="1"/>
        </xdr:cNvSpPr>
      </xdr:nvSpPr>
      <xdr:spPr bwMode="gray">
        <a:xfrm>
          <a:off x="6819900" y="91440"/>
          <a:ext cx="266700" cy="3124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twoCellAnchor>
    <xdr:from>
      <xdr:col>0</xdr:col>
      <xdr:colOff>1571625</xdr:colOff>
      <xdr:row>0</xdr:row>
      <xdr:rowOff>83820</xdr:rowOff>
    </xdr:from>
    <xdr:to>
      <xdr:col>0</xdr:col>
      <xdr:colOff>1834203</xdr:colOff>
      <xdr:row>2</xdr:row>
      <xdr:rowOff>44057</xdr:rowOff>
    </xdr:to>
    <xdr:sp macro="" textlink="">
      <xdr:nvSpPr>
        <xdr:cNvPr id="5122" name="Rectangle 2"/>
        <xdr:cNvSpPr>
          <a:spLocks noChangeArrowheads="1"/>
        </xdr:cNvSpPr>
      </xdr:nvSpPr>
      <xdr:spPr bwMode="gray">
        <a:xfrm>
          <a:off x="1577340" y="91440"/>
          <a:ext cx="266700" cy="4267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twoCellAnchor>
    <xdr:from>
      <xdr:col>0</xdr:col>
      <xdr:colOff>1573530</xdr:colOff>
      <xdr:row>0</xdr:row>
      <xdr:rowOff>83820</xdr:rowOff>
    </xdr:from>
    <xdr:to>
      <xdr:col>0</xdr:col>
      <xdr:colOff>1838269</xdr:colOff>
      <xdr:row>2</xdr:row>
      <xdr:rowOff>68711</xdr:rowOff>
    </xdr:to>
    <xdr:sp macro="" textlink="">
      <xdr:nvSpPr>
        <xdr:cNvPr id="6" name="Rectangle 2"/>
        <xdr:cNvSpPr>
          <a:spLocks noChangeArrowheads="1"/>
        </xdr:cNvSpPr>
      </xdr:nvSpPr>
      <xdr:spPr bwMode="gray">
        <a:xfrm>
          <a:off x="1577340" y="91440"/>
          <a:ext cx="266700" cy="3886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twoCellAnchor>
    <xdr:from>
      <xdr:col>0</xdr:col>
      <xdr:colOff>1535430</xdr:colOff>
      <xdr:row>0</xdr:row>
      <xdr:rowOff>106680</xdr:rowOff>
    </xdr:from>
    <xdr:to>
      <xdr:col>0</xdr:col>
      <xdr:colOff>1786890</xdr:colOff>
      <xdr:row>2</xdr:row>
      <xdr:rowOff>89622</xdr:rowOff>
    </xdr:to>
    <xdr:sp macro="" textlink="">
      <xdr:nvSpPr>
        <xdr:cNvPr id="7" name="Rectangle 5"/>
        <xdr:cNvSpPr>
          <a:spLocks noChangeArrowheads="1"/>
        </xdr:cNvSpPr>
      </xdr:nvSpPr>
      <xdr:spPr bwMode="gray">
        <a:xfrm>
          <a:off x="1539240" y="106680"/>
          <a:ext cx="251460" cy="388620"/>
        </a:xfrm>
        <a:prstGeom prst="rect">
          <a:avLst/>
        </a:prstGeom>
        <a:noFill/>
        <a:ln w="12700">
          <a:noFill/>
          <a:miter lim="800000"/>
          <a:headEnd/>
          <a:tailEnd/>
        </a:ln>
        <a:effectLst/>
      </xdr:spPr>
      <xdr:txBody>
        <a:bodyPr vertOverflow="clip" wrap="square" lIns="92075" tIns="46037" rIns="92075" bIns="46037" anchor="t" upright="1"/>
        <a:lstStyle/>
        <a:p>
          <a:pPr algn="l" rtl="0">
            <a:defRPr sz="1000"/>
          </a:pPr>
          <a:r>
            <a:rPr lang="ru-RU" sz="1200" b="1"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1771651</xdr:colOff>
      <xdr:row>4</xdr:row>
      <xdr:rowOff>7619</xdr:rowOff>
    </xdr:from>
    <xdr:to>
      <xdr:col>13</xdr:col>
      <xdr:colOff>296895</xdr:colOff>
      <xdr:row>18</xdr:row>
      <xdr:rowOff>134683</xdr:rowOff>
    </xdr:to>
    <xdr:pic>
      <xdr:nvPicPr>
        <xdr:cNvPr id="6263" name="Picture 30" descr="GAZPROM-GROUP’S-HYDROCARBONS-PRODUCTION-IN-RUSSIA"/>
        <xdr:cNvPicPr>
          <a:picLocks noChangeAspect="1" noChangeArrowheads="1"/>
        </xdr:cNvPicPr>
      </xdr:nvPicPr>
      <xdr:blipFill>
        <a:blip xmlns:r="http://schemas.openxmlformats.org/officeDocument/2006/relationships" r:embed="rId1" cstate="print"/>
        <a:srcRect/>
        <a:stretch>
          <a:fillRect/>
        </a:stretch>
      </xdr:blipFill>
      <xdr:spPr bwMode="auto">
        <a:xfrm>
          <a:off x="1771651" y="731519"/>
          <a:ext cx="5973794" cy="239401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106680</xdr:rowOff>
    </xdr:from>
    <xdr:to>
      <xdr:col>7</xdr:col>
      <xdr:colOff>0</xdr:colOff>
      <xdr:row>14</xdr:row>
      <xdr:rowOff>236220</xdr:rowOff>
    </xdr:to>
    <xdr:pic>
      <xdr:nvPicPr>
        <xdr:cNvPr id="23665" name="Picture 24" descr="AREAS-OF-GEOLOGIC-EXPLORATION-WORKS-CARRIED-OUT-IN-RUSSIA"/>
        <xdr:cNvPicPr>
          <a:picLocks noChangeAspect="1" noChangeArrowheads="1"/>
        </xdr:cNvPicPr>
      </xdr:nvPicPr>
      <xdr:blipFill>
        <a:blip xmlns:r="http://schemas.openxmlformats.org/officeDocument/2006/relationships" r:embed="rId1" cstate="print"/>
        <a:srcRect/>
        <a:stretch>
          <a:fillRect/>
        </a:stretch>
      </xdr:blipFill>
      <xdr:spPr bwMode="auto">
        <a:xfrm>
          <a:off x="0" y="571500"/>
          <a:ext cx="6949440" cy="376428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76200</xdr:colOff>
      <xdr:row>2</xdr:row>
      <xdr:rowOff>243840</xdr:rowOff>
    </xdr:from>
    <xdr:to>
      <xdr:col>6</xdr:col>
      <xdr:colOff>0</xdr:colOff>
      <xdr:row>7</xdr:row>
      <xdr:rowOff>838199</xdr:rowOff>
    </xdr:to>
    <xdr:pic>
      <xdr:nvPicPr>
        <xdr:cNvPr id="57686" name="Picture 1321" descr="El-Assel licenced area in Algeria copy"/>
        <xdr:cNvPicPr>
          <a:picLocks noChangeAspect="1" noChangeArrowheads="1"/>
        </xdr:cNvPicPr>
      </xdr:nvPicPr>
      <xdr:blipFill>
        <a:blip xmlns:r="http://schemas.openxmlformats.org/officeDocument/2006/relationships" r:embed="rId1" cstate="print"/>
        <a:srcRect/>
        <a:stretch>
          <a:fillRect/>
        </a:stretch>
      </xdr:blipFill>
      <xdr:spPr bwMode="auto">
        <a:xfrm>
          <a:off x="6616700" y="878840"/>
          <a:ext cx="3060699" cy="2423159"/>
        </a:xfrm>
        <a:prstGeom prst="rect">
          <a:avLst/>
        </a:prstGeom>
        <a:noFill/>
        <a:ln w="9525">
          <a:noFill/>
          <a:miter lim="800000"/>
          <a:headEnd/>
          <a:tailEnd/>
        </a:ln>
      </xdr:spPr>
    </xdr:pic>
    <xdr:clientData/>
  </xdr:twoCellAnchor>
  <xdr:twoCellAnchor editAs="oneCell">
    <xdr:from>
      <xdr:col>5</xdr:col>
      <xdr:colOff>60526</xdr:colOff>
      <xdr:row>8</xdr:row>
      <xdr:rowOff>175259</xdr:rowOff>
    </xdr:from>
    <xdr:to>
      <xdr:col>5</xdr:col>
      <xdr:colOff>3133724</xdr:colOff>
      <xdr:row>8</xdr:row>
      <xdr:rowOff>2505074</xdr:rowOff>
    </xdr:to>
    <xdr:pic>
      <xdr:nvPicPr>
        <xdr:cNvPr id="57687" name="Picture 1322" descr="Ipati and Aquio, Acero blocks in Bolivia copy"/>
        <xdr:cNvPicPr>
          <a:picLocks noChangeAspect="1" noChangeArrowheads="1"/>
        </xdr:cNvPicPr>
      </xdr:nvPicPr>
      <xdr:blipFill>
        <a:blip xmlns:r="http://schemas.openxmlformats.org/officeDocument/2006/relationships" r:embed="rId2" cstate="print"/>
        <a:srcRect/>
        <a:stretch>
          <a:fillRect/>
        </a:stretch>
      </xdr:blipFill>
      <xdr:spPr bwMode="auto">
        <a:xfrm>
          <a:off x="6613726" y="3766184"/>
          <a:ext cx="3073198" cy="2329815"/>
        </a:xfrm>
        <a:prstGeom prst="rect">
          <a:avLst/>
        </a:prstGeom>
        <a:noFill/>
        <a:ln w="9525">
          <a:noFill/>
          <a:miter lim="800000"/>
          <a:headEnd/>
          <a:tailEnd/>
        </a:ln>
      </xdr:spPr>
    </xdr:pic>
    <xdr:clientData/>
  </xdr:twoCellAnchor>
  <xdr:twoCellAnchor editAs="oneCell">
    <xdr:from>
      <xdr:col>5</xdr:col>
      <xdr:colOff>68580</xdr:colOff>
      <xdr:row>9</xdr:row>
      <xdr:rowOff>445770</xdr:rowOff>
    </xdr:from>
    <xdr:to>
      <xdr:col>6</xdr:col>
      <xdr:colOff>0</xdr:colOff>
      <xdr:row>11</xdr:row>
      <xdr:rowOff>579986</xdr:rowOff>
    </xdr:to>
    <xdr:pic>
      <xdr:nvPicPr>
        <xdr:cNvPr id="57688" name="Picture 1323" descr="Urumaco-I and Urumaco-II investment blocks copy"/>
        <xdr:cNvPicPr>
          <a:picLocks noChangeAspect="1" noChangeArrowheads="1"/>
        </xdr:cNvPicPr>
      </xdr:nvPicPr>
      <xdr:blipFill>
        <a:blip xmlns:r="http://schemas.openxmlformats.org/officeDocument/2006/relationships" r:embed="rId3" cstate="print"/>
        <a:srcRect/>
        <a:stretch>
          <a:fillRect/>
        </a:stretch>
      </xdr:blipFill>
      <xdr:spPr bwMode="auto">
        <a:xfrm>
          <a:off x="6659880" y="6770370"/>
          <a:ext cx="3074669" cy="2401166"/>
        </a:xfrm>
        <a:prstGeom prst="rect">
          <a:avLst/>
        </a:prstGeom>
        <a:noFill/>
        <a:ln w="9525">
          <a:noFill/>
          <a:miter lim="800000"/>
          <a:headEnd/>
          <a:tailEnd/>
        </a:ln>
      </xdr:spPr>
    </xdr:pic>
    <xdr:clientData/>
  </xdr:twoCellAnchor>
  <xdr:twoCellAnchor editAs="oneCell">
    <xdr:from>
      <xdr:col>5</xdr:col>
      <xdr:colOff>77654</xdr:colOff>
      <xdr:row>13</xdr:row>
      <xdr:rowOff>320040</xdr:rowOff>
    </xdr:from>
    <xdr:to>
      <xdr:col>6</xdr:col>
      <xdr:colOff>0</xdr:colOff>
      <xdr:row>15</xdr:row>
      <xdr:rowOff>596900</xdr:rowOff>
    </xdr:to>
    <xdr:pic>
      <xdr:nvPicPr>
        <xdr:cNvPr id="57689" name="Picture 1324" descr="Exploration drilling and seismic survey copy"/>
        <xdr:cNvPicPr>
          <a:picLocks noChangeAspect="1" noChangeArrowheads="1"/>
        </xdr:cNvPicPr>
      </xdr:nvPicPr>
      <xdr:blipFill>
        <a:blip xmlns:r="http://schemas.openxmlformats.org/officeDocument/2006/relationships" r:embed="rId4" cstate="print"/>
        <a:srcRect/>
        <a:stretch>
          <a:fillRect/>
        </a:stretch>
      </xdr:blipFill>
      <xdr:spPr bwMode="auto">
        <a:xfrm>
          <a:off x="6618154" y="12296140"/>
          <a:ext cx="3059245" cy="2435860"/>
        </a:xfrm>
        <a:prstGeom prst="rect">
          <a:avLst/>
        </a:prstGeom>
        <a:noFill/>
        <a:ln w="9525">
          <a:noFill/>
          <a:miter lim="800000"/>
          <a:headEnd/>
          <a:tailEnd/>
        </a:ln>
      </xdr:spPr>
    </xdr:pic>
    <xdr:clientData/>
  </xdr:twoCellAnchor>
  <xdr:twoCellAnchor editAs="oneCell">
    <xdr:from>
      <xdr:col>5</xdr:col>
      <xdr:colOff>80149</xdr:colOff>
      <xdr:row>16</xdr:row>
      <xdr:rowOff>220981</xdr:rowOff>
    </xdr:from>
    <xdr:to>
      <xdr:col>5</xdr:col>
      <xdr:colOff>3133724</xdr:colOff>
      <xdr:row>16</xdr:row>
      <xdr:rowOff>2438401</xdr:rowOff>
    </xdr:to>
    <xdr:pic>
      <xdr:nvPicPr>
        <xdr:cNvPr id="57690" name="Picture 1325" descr="Exploration drilling and seismic survey block № 26 copy"/>
        <xdr:cNvPicPr>
          <a:picLocks noChangeAspect="1" noChangeArrowheads="1"/>
        </xdr:cNvPicPr>
      </xdr:nvPicPr>
      <xdr:blipFill>
        <a:blip xmlns:r="http://schemas.openxmlformats.org/officeDocument/2006/relationships" r:embed="rId5" cstate="print"/>
        <a:srcRect/>
        <a:stretch>
          <a:fillRect/>
        </a:stretch>
      </xdr:blipFill>
      <xdr:spPr bwMode="auto">
        <a:xfrm>
          <a:off x="6633349" y="15851506"/>
          <a:ext cx="3053575" cy="2217420"/>
        </a:xfrm>
        <a:prstGeom prst="rect">
          <a:avLst/>
        </a:prstGeom>
        <a:noFill/>
        <a:ln w="9525">
          <a:noFill/>
          <a:miter lim="800000"/>
          <a:headEnd/>
          <a:tailEnd/>
        </a:ln>
      </xdr:spPr>
    </xdr:pic>
    <xdr:clientData/>
  </xdr:twoCellAnchor>
  <xdr:twoCellAnchor editAs="oneCell">
    <xdr:from>
      <xdr:col>5</xdr:col>
      <xdr:colOff>0</xdr:colOff>
      <xdr:row>18</xdr:row>
      <xdr:rowOff>198120</xdr:rowOff>
    </xdr:from>
    <xdr:to>
      <xdr:col>5</xdr:col>
      <xdr:colOff>3133724</xdr:colOff>
      <xdr:row>19</xdr:row>
      <xdr:rowOff>1402126</xdr:rowOff>
    </xdr:to>
    <xdr:pic>
      <xdr:nvPicPr>
        <xdr:cNvPr id="57691" name="Picture 1326" descr="Badra field in Iraq copy"/>
        <xdr:cNvPicPr>
          <a:picLocks noChangeAspect="1" noChangeArrowheads="1"/>
        </xdr:cNvPicPr>
      </xdr:nvPicPr>
      <xdr:blipFill>
        <a:blip xmlns:r="http://schemas.openxmlformats.org/officeDocument/2006/relationships" r:embed="rId6" cstate="print"/>
        <a:srcRect/>
        <a:stretch>
          <a:fillRect/>
        </a:stretch>
      </xdr:blipFill>
      <xdr:spPr bwMode="auto">
        <a:xfrm>
          <a:off x="6554932" y="18815165"/>
          <a:ext cx="3133724" cy="2347006"/>
        </a:xfrm>
        <a:prstGeom prst="rect">
          <a:avLst/>
        </a:prstGeom>
        <a:noFill/>
        <a:ln w="9525">
          <a:noFill/>
          <a:miter lim="800000"/>
          <a:headEnd/>
          <a:tailEnd/>
        </a:ln>
      </xdr:spPr>
    </xdr:pic>
    <xdr:clientData/>
  </xdr:twoCellAnchor>
  <xdr:twoCellAnchor editAs="oneCell">
    <xdr:from>
      <xdr:col>5</xdr:col>
      <xdr:colOff>17319</xdr:colOff>
      <xdr:row>20</xdr:row>
      <xdr:rowOff>365761</xdr:rowOff>
    </xdr:from>
    <xdr:to>
      <xdr:col>5</xdr:col>
      <xdr:colOff>3133725</xdr:colOff>
      <xdr:row>22</xdr:row>
      <xdr:rowOff>1030432</xdr:rowOff>
    </xdr:to>
    <xdr:pic>
      <xdr:nvPicPr>
        <xdr:cNvPr id="57692" name="Picture 1327" descr="Hydrocarbon exploration and survey copy"/>
        <xdr:cNvPicPr>
          <a:picLocks noChangeAspect="1" noChangeArrowheads="1"/>
        </xdr:cNvPicPr>
      </xdr:nvPicPr>
      <xdr:blipFill>
        <a:blip xmlns:r="http://schemas.openxmlformats.org/officeDocument/2006/relationships" r:embed="rId7" cstate="print"/>
        <a:srcRect/>
        <a:stretch>
          <a:fillRect/>
        </a:stretch>
      </xdr:blipFill>
      <xdr:spPr bwMode="auto">
        <a:xfrm>
          <a:off x="6572251" y="21606511"/>
          <a:ext cx="3116406" cy="2405148"/>
        </a:xfrm>
        <a:prstGeom prst="rect">
          <a:avLst/>
        </a:prstGeom>
        <a:noFill/>
        <a:ln w="9525">
          <a:noFill/>
          <a:miter lim="800000"/>
          <a:headEnd/>
          <a:tailEnd/>
        </a:ln>
      </xdr:spPr>
    </xdr:pic>
    <xdr:clientData/>
  </xdr:twoCellAnchor>
  <xdr:twoCellAnchor editAs="oneCell">
    <xdr:from>
      <xdr:col>5</xdr:col>
      <xdr:colOff>0</xdr:colOff>
      <xdr:row>23</xdr:row>
      <xdr:rowOff>190500</xdr:rowOff>
    </xdr:from>
    <xdr:to>
      <xdr:col>6</xdr:col>
      <xdr:colOff>0</xdr:colOff>
      <xdr:row>24</xdr:row>
      <xdr:rowOff>1706880</xdr:rowOff>
    </xdr:to>
    <xdr:pic>
      <xdr:nvPicPr>
        <xdr:cNvPr id="57693" name="Picture 1329" descr="Geologic exploration regions copy"/>
        <xdr:cNvPicPr>
          <a:picLocks noChangeAspect="1" noChangeArrowheads="1"/>
        </xdr:cNvPicPr>
      </xdr:nvPicPr>
      <xdr:blipFill>
        <a:blip xmlns:r="http://schemas.openxmlformats.org/officeDocument/2006/relationships" r:embed="rId8" cstate="print"/>
        <a:srcRect/>
        <a:stretch>
          <a:fillRect/>
        </a:stretch>
      </xdr:blipFill>
      <xdr:spPr bwMode="auto">
        <a:xfrm>
          <a:off x="6736080" y="24315420"/>
          <a:ext cx="3223260" cy="2438400"/>
        </a:xfrm>
        <a:prstGeom prst="rect">
          <a:avLst/>
        </a:prstGeom>
        <a:noFill/>
        <a:ln w="9525">
          <a:noFill/>
          <a:miter lim="800000"/>
          <a:headEnd/>
          <a:tailEnd/>
        </a:ln>
      </xdr:spPr>
    </xdr:pic>
    <xdr:clientData/>
  </xdr:twoCellAnchor>
  <xdr:twoCellAnchor editAs="oneCell">
    <xdr:from>
      <xdr:col>5</xdr:col>
      <xdr:colOff>0</xdr:colOff>
      <xdr:row>25</xdr:row>
      <xdr:rowOff>190501</xdr:rowOff>
    </xdr:from>
    <xdr:to>
      <xdr:col>5</xdr:col>
      <xdr:colOff>3134590</xdr:colOff>
      <xdr:row>26</xdr:row>
      <xdr:rowOff>987137</xdr:rowOff>
    </xdr:to>
    <xdr:pic>
      <xdr:nvPicPr>
        <xdr:cNvPr id="57694" name="Picture 1330" descr="OAO Gazprom’s geologic exploration areas copy"/>
        <xdr:cNvPicPr>
          <a:picLocks noChangeAspect="1" noChangeArrowheads="1"/>
        </xdr:cNvPicPr>
      </xdr:nvPicPr>
      <xdr:blipFill>
        <a:blip xmlns:r="http://schemas.openxmlformats.org/officeDocument/2006/relationships" r:embed="rId9" cstate="print"/>
        <a:srcRect/>
        <a:stretch>
          <a:fillRect/>
        </a:stretch>
      </xdr:blipFill>
      <xdr:spPr bwMode="auto">
        <a:xfrm>
          <a:off x="6554932" y="27267478"/>
          <a:ext cx="3134590" cy="2519795"/>
        </a:xfrm>
        <a:prstGeom prst="rect">
          <a:avLst/>
        </a:prstGeom>
        <a:noFill/>
        <a:ln w="9525">
          <a:noFill/>
          <a:miter lim="800000"/>
          <a:headEnd/>
          <a:tailEnd/>
        </a:ln>
      </xdr:spPr>
    </xdr:pic>
    <xdr:clientData/>
  </xdr:twoCellAnchor>
  <xdr:twoCellAnchor editAs="oneCell">
    <xdr:from>
      <xdr:col>5</xdr:col>
      <xdr:colOff>0</xdr:colOff>
      <xdr:row>27</xdr:row>
      <xdr:rowOff>198120</xdr:rowOff>
    </xdr:from>
    <xdr:to>
      <xdr:col>6</xdr:col>
      <xdr:colOff>0</xdr:colOff>
      <xdr:row>28</xdr:row>
      <xdr:rowOff>1447800</xdr:rowOff>
    </xdr:to>
    <xdr:pic>
      <xdr:nvPicPr>
        <xdr:cNvPr id="57695" name="Picture 1331" descr="Hydrocarbon exploration, survey and production areas in Uzbekistan copy"/>
        <xdr:cNvPicPr>
          <a:picLocks noChangeAspect="1" noChangeArrowheads="1"/>
        </xdr:cNvPicPr>
      </xdr:nvPicPr>
      <xdr:blipFill>
        <a:blip xmlns:r="http://schemas.openxmlformats.org/officeDocument/2006/relationships" r:embed="rId10" cstate="print"/>
        <a:srcRect/>
        <a:stretch>
          <a:fillRect/>
        </a:stretch>
      </xdr:blipFill>
      <xdr:spPr bwMode="auto">
        <a:xfrm>
          <a:off x="6736080" y="32522160"/>
          <a:ext cx="3223260" cy="2491740"/>
        </a:xfrm>
        <a:prstGeom prst="rect">
          <a:avLst/>
        </a:prstGeom>
        <a:noFill/>
        <a:ln w="9525">
          <a:noFill/>
          <a:miter lim="800000"/>
          <a:headEnd/>
          <a:tailEnd/>
        </a:ln>
      </xdr:spPr>
    </xdr:pic>
    <xdr:clientData/>
  </xdr:twoCellAnchor>
  <xdr:twoCellAnchor editAs="oneCell">
    <xdr:from>
      <xdr:col>5</xdr:col>
      <xdr:colOff>7620</xdr:colOff>
      <xdr:row>31</xdr:row>
      <xdr:rowOff>449581</xdr:rowOff>
    </xdr:from>
    <xdr:to>
      <xdr:col>6</xdr:col>
      <xdr:colOff>0</xdr:colOff>
      <xdr:row>37</xdr:row>
      <xdr:rowOff>228601</xdr:rowOff>
    </xdr:to>
    <xdr:pic>
      <xdr:nvPicPr>
        <xdr:cNvPr id="57696" name="Picture 1332" descr="Hydrocarbon exploration and survey areas and concession sites in Libya copy"/>
        <xdr:cNvPicPr>
          <a:picLocks noChangeAspect="1" noChangeArrowheads="1"/>
        </xdr:cNvPicPr>
      </xdr:nvPicPr>
      <xdr:blipFill>
        <a:blip xmlns:r="http://schemas.openxmlformats.org/officeDocument/2006/relationships" r:embed="rId11" cstate="print"/>
        <a:srcRect/>
        <a:stretch>
          <a:fillRect/>
        </a:stretch>
      </xdr:blipFill>
      <xdr:spPr bwMode="auto">
        <a:xfrm>
          <a:off x="6548120" y="38892481"/>
          <a:ext cx="3129279" cy="2573020"/>
        </a:xfrm>
        <a:prstGeom prst="rect">
          <a:avLst/>
        </a:prstGeom>
        <a:noFill/>
        <a:ln w="9525">
          <a:noFill/>
          <a:miter lim="800000"/>
          <a:headEnd/>
          <a:tailEnd/>
        </a:ln>
      </xdr:spPr>
    </xdr:pic>
    <xdr:clientData/>
  </xdr:twoCellAnchor>
  <xdr:twoCellAnchor editAs="oneCell">
    <xdr:from>
      <xdr:col>5</xdr:col>
      <xdr:colOff>0</xdr:colOff>
      <xdr:row>41</xdr:row>
      <xdr:rowOff>182880</xdr:rowOff>
    </xdr:from>
    <xdr:to>
      <xdr:col>6</xdr:col>
      <xdr:colOff>0</xdr:colOff>
      <xdr:row>42</xdr:row>
      <xdr:rowOff>1231900</xdr:rowOff>
    </xdr:to>
    <xdr:pic>
      <xdr:nvPicPr>
        <xdr:cNvPr id="57697" name="Picture 1333" descr="Blocks U and T on the shelf of Equatorial Guinea copy"/>
        <xdr:cNvPicPr>
          <a:picLocks noChangeAspect="1" noChangeArrowheads="1"/>
        </xdr:cNvPicPr>
      </xdr:nvPicPr>
      <xdr:blipFill>
        <a:blip xmlns:r="http://schemas.openxmlformats.org/officeDocument/2006/relationships" r:embed="rId12" cstate="print"/>
        <a:srcRect/>
        <a:stretch>
          <a:fillRect/>
        </a:stretch>
      </xdr:blipFill>
      <xdr:spPr bwMode="auto">
        <a:xfrm>
          <a:off x="6540500" y="44239180"/>
          <a:ext cx="3136899" cy="275082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4</xdr:col>
      <xdr:colOff>822960</xdr:colOff>
      <xdr:row>10</xdr:row>
      <xdr:rowOff>251460</xdr:rowOff>
    </xdr:to>
    <xdr:pic>
      <xdr:nvPicPr>
        <xdr:cNvPr id="38009" name="Рисунок 1" descr="Allocation of Main Promising Fields of Gazprom Group in Russia copy.gif"/>
        <xdr:cNvPicPr>
          <a:picLocks noChangeAspect="1"/>
        </xdr:cNvPicPr>
      </xdr:nvPicPr>
      <xdr:blipFill>
        <a:blip xmlns:r="http://schemas.openxmlformats.org/officeDocument/2006/relationships" r:embed="rId1" cstate="print"/>
        <a:srcRect/>
        <a:stretch>
          <a:fillRect/>
        </a:stretch>
      </xdr:blipFill>
      <xdr:spPr bwMode="auto">
        <a:xfrm>
          <a:off x="0" y="464820"/>
          <a:ext cx="6911340" cy="419862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5</xdr:col>
      <xdr:colOff>2188845</xdr:colOff>
      <xdr:row>12</xdr:row>
      <xdr:rowOff>922020</xdr:rowOff>
    </xdr:to>
    <xdr:pic>
      <xdr:nvPicPr>
        <xdr:cNvPr id="39055" name="Рисунок 2" descr="Eurasian Gas Transportation System copy.gif"/>
        <xdr:cNvPicPr>
          <a:picLocks noChangeAspect="1"/>
        </xdr:cNvPicPr>
      </xdr:nvPicPr>
      <xdr:blipFill>
        <a:blip xmlns:r="http://schemas.openxmlformats.org/officeDocument/2006/relationships" r:embed="rId1" cstate="print"/>
        <a:srcRect/>
        <a:stretch>
          <a:fillRect/>
        </a:stretch>
      </xdr:blipFill>
      <xdr:spPr bwMode="auto">
        <a:xfrm>
          <a:off x="0" y="441960"/>
          <a:ext cx="6911340" cy="557784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M52"/>
  <sheetViews>
    <sheetView tabSelected="1" zoomScaleNormal="100" zoomScaleSheetLayoutView="100" workbookViewId="0">
      <selection activeCell="A33" sqref="A33"/>
    </sheetView>
  </sheetViews>
  <sheetFormatPr defaultColWidth="0" defaultRowHeight="13.2" zeroHeight="1"/>
  <cols>
    <col min="1" max="1" width="77.33203125" style="28" customWidth="1"/>
    <col min="2" max="2" width="9.33203125" style="28" customWidth="1"/>
    <col min="3" max="8" width="9.33203125" style="28" hidden="1" customWidth="1"/>
    <col min="9" max="9" width="10.5546875" style="28" hidden="1" customWidth="1"/>
    <col min="10" max="16384" width="0" style="28" hidden="1"/>
  </cols>
  <sheetData>
    <row r="1" spans="1:3"/>
    <row r="2" spans="1:3"/>
    <row r="3" spans="1:3"/>
    <row r="4" spans="1:3"/>
    <row r="5" spans="1:3"/>
    <row r="6" spans="1:3"/>
    <row r="7" spans="1:3"/>
    <row r="8" spans="1:3"/>
    <row r="9" spans="1:3"/>
    <row r="10" spans="1:3"/>
    <row r="11" spans="1:3"/>
    <row r="12" spans="1:3"/>
    <row r="13" spans="1:3"/>
    <row r="14" spans="1:3"/>
    <row r="15" spans="1:3" ht="24.6">
      <c r="A15" s="527" t="s">
        <v>658</v>
      </c>
      <c r="B15" s="527"/>
      <c r="C15" s="474"/>
    </row>
    <row r="16" spans="1:3" ht="24.6">
      <c r="A16" s="527" t="s">
        <v>214</v>
      </c>
      <c r="B16" s="527"/>
    </row>
    <row r="17" spans="1:4">
      <c r="A17" s="475"/>
      <c r="B17" s="264"/>
    </row>
    <row r="18" spans="1:4">
      <c r="A18" s="476" t="s">
        <v>208</v>
      </c>
      <c r="B18" s="477">
        <v>2</v>
      </c>
    </row>
    <row r="19" spans="1:4">
      <c r="A19" s="476" t="s">
        <v>537</v>
      </c>
      <c r="B19" s="477">
        <v>3</v>
      </c>
    </row>
    <row r="20" spans="1:4">
      <c r="A20" s="476" t="s">
        <v>538</v>
      </c>
      <c r="B20" s="477">
        <v>4</v>
      </c>
    </row>
    <row r="21" spans="1:4">
      <c r="A21" s="476" t="s">
        <v>539</v>
      </c>
      <c r="B21" s="477">
        <v>5</v>
      </c>
      <c r="D21" s="477"/>
    </row>
    <row r="22" spans="1:4">
      <c r="A22" s="476" t="s">
        <v>284</v>
      </c>
      <c r="B22" s="477">
        <v>6</v>
      </c>
      <c r="D22" s="477"/>
    </row>
    <row r="23" spans="1:4">
      <c r="A23" s="476" t="s">
        <v>299</v>
      </c>
      <c r="B23" s="477">
        <v>8</v>
      </c>
      <c r="D23" s="477"/>
    </row>
    <row r="24" spans="1:4" ht="12.75" customHeight="1">
      <c r="A24" s="476" t="s">
        <v>320</v>
      </c>
      <c r="B24" s="477">
        <v>9</v>
      </c>
      <c r="D24" s="477"/>
    </row>
    <row r="25" spans="1:4" ht="28.8">
      <c r="A25" s="476" t="s">
        <v>1111</v>
      </c>
      <c r="B25" s="477">
        <v>11</v>
      </c>
      <c r="D25" s="477"/>
    </row>
    <row r="26" spans="1:4" ht="15.6">
      <c r="A26" s="476" t="s">
        <v>1113</v>
      </c>
      <c r="B26" s="477">
        <v>12</v>
      </c>
      <c r="D26" s="477"/>
    </row>
    <row r="27" spans="1:4">
      <c r="A27" s="476" t="s">
        <v>371</v>
      </c>
      <c r="B27" s="477">
        <v>14</v>
      </c>
      <c r="D27" s="477"/>
    </row>
    <row r="28" spans="1:4">
      <c r="A28" s="476" t="s">
        <v>666</v>
      </c>
      <c r="B28" s="477">
        <v>16</v>
      </c>
      <c r="D28" s="477"/>
    </row>
    <row r="29" spans="1:4">
      <c r="A29" s="476" t="s">
        <v>670</v>
      </c>
      <c r="B29" s="477">
        <v>17</v>
      </c>
      <c r="D29" s="477"/>
    </row>
    <row r="30" spans="1:4">
      <c r="A30" s="476" t="s">
        <v>540</v>
      </c>
      <c r="B30" s="477">
        <v>18</v>
      </c>
      <c r="D30" s="477"/>
    </row>
    <row r="31" spans="1:4">
      <c r="A31" s="476" t="s">
        <v>541</v>
      </c>
      <c r="B31" s="477">
        <v>19</v>
      </c>
      <c r="D31" s="477"/>
    </row>
    <row r="32" spans="1:4">
      <c r="A32" s="476" t="s">
        <v>542</v>
      </c>
      <c r="B32" s="477">
        <v>20</v>
      </c>
      <c r="D32" s="477"/>
    </row>
    <row r="33" spans="1:9" ht="26.4">
      <c r="A33" s="476" t="s">
        <v>543</v>
      </c>
      <c r="B33" s="477">
        <v>22</v>
      </c>
      <c r="D33" s="477"/>
    </row>
    <row r="34" spans="1:9" ht="12.75" customHeight="1">
      <c r="A34" s="476" t="s">
        <v>1002</v>
      </c>
      <c r="B34" s="477">
        <v>27</v>
      </c>
      <c r="C34" s="478"/>
      <c r="D34" s="478"/>
      <c r="E34" s="478"/>
      <c r="F34" s="478"/>
      <c r="G34" s="478"/>
      <c r="H34" s="478"/>
      <c r="I34" s="478"/>
    </row>
    <row r="35" spans="1:9" ht="12.75" customHeight="1">
      <c r="A35" s="476" t="s">
        <v>726</v>
      </c>
      <c r="B35" s="477">
        <v>30</v>
      </c>
      <c r="D35" s="477"/>
    </row>
    <row r="36" spans="1:9">
      <c r="A36" s="476" t="s">
        <v>758</v>
      </c>
      <c r="B36" s="477">
        <v>31</v>
      </c>
      <c r="D36" s="477"/>
    </row>
    <row r="37" spans="1:9">
      <c r="A37" s="476" t="s">
        <v>544</v>
      </c>
      <c r="B37" s="477">
        <v>34</v>
      </c>
      <c r="D37" s="477"/>
    </row>
    <row r="38" spans="1:9">
      <c r="A38" s="476" t="s">
        <v>787</v>
      </c>
      <c r="B38" s="477">
        <v>36</v>
      </c>
      <c r="D38" s="477"/>
    </row>
    <row r="39" spans="1:9">
      <c r="A39" s="476" t="s">
        <v>814</v>
      </c>
      <c r="B39" s="477">
        <v>37</v>
      </c>
      <c r="D39" s="477"/>
    </row>
    <row r="40" spans="1:9">
      <c r="A40" s="476" t="s">
        <v>828</v>
      </c>
      <c r="B40" s="477">
        <v>38</v>
      </c>
      <c r="D40" s="477"/>
    </row>
    <row r="41" spans="1:9">
      <c r="A41" s="476" t="s">
        <v>829</v>
      </c>
      <c r="B41" s="477">
        <v>40</v>
      </c>
      <c r="D41" s="477"/>
    </row>
    <row r="42" spans="1:9">
      <c r="A42" s="476" t="s">
        <v>845</v>
      </c>
      <c r="B42" s="477">
        <v>41</v>
      </c>
      <c r="D42" s="477"/>
    </row>
    <row r="43" spans="1:9">
      <c r="A43" s="476" t="s">
        <v>892</v>
      </c>
      <c r="B43" s="477">
        <v>43</v>
      </c>
      <c r="D43" s="477"/>
    </row>
    <row r="44" spans="1:9">
      <c r="A44" s="476" t="s">
        <v>921</v>
      </c>
      <c r="B44" s="477">
        <v>44</v>
      </c>
      <c r="D44" s="477"/>
    </row>
    <row r="45" spans="1:9">
      <c r="A45" s="476" t="s">
        <v>9</v>
      </c>
      <c r="B45" s="477">
        <v>46</v>
      </c>
      <c r="D45" s="477"/>
    </row>
    <row r="46" spans="1:9">
      <c r="A46" s="476" t="s">
        <v>21</v>
      </c>
      <c r="B46" s="477">
        <v>47</v>
      </c>
      <c r="D46" s="477"/>
    </row>
    <row r="47" spans="1:9">
      <c r="A47" s="476" t="s">
        <v>545</v>
      </c>
      <c r="B47" s="477">
        <v>48</v>
      </c>
      <c r="D47" s="477"/>
    </row>
    <row r="48" spans="1:9">
      <c r="A48" s="476" t="s">
        <v>74</v>
      </c>
      <c r="B48" s="477">
        <v>49</v>
      </c>
      <c r="D48" s="477"/>
    </row>
    <row r="49" spans="1:13">
      <c r="A49" s="476" t="s">
        <v>175</v>
      </c>
      <c r="B49" s="477">
        <v>50</v>
      </c>
      <c r="D49" s="477"/>
    </row>
    <row r="50" spans="1:13" hidden="1"/>
    <row r="51" spans="1:13" hidden="1">
      <c r="M51" s="477"/>
    </row>
    <row r="52" spans="1:13" hidden="1">
      <c r="M52" s="477"/>
    </row>
  </sheetData>
  <sheetProtection password="CAF1" sheet="1" formatCells="0" formatColumns="0" formatRows="0" insertColumns="0" insertRows="0" insertHyperlinks="0" deleteColumns="0" deleteRows="0" sort="0" autoFilter="0" pivotTables="0"/>
  <mergeCells count="2">
    <mergeCell ref="A15:B15"/>
    <mergeCell ref="A16:B16"/>
  </mergeCells>
  <phoneticPr fontId="7" type="noConversion"/>
  <hyperlinks>
    <hyperlink ref="B18" location="Preface!A1" display="Preface!A1"/>
    <hyperlink ref="B19" location="'Gazprom globaly'!A1" display="'Gazprom globaly'!A1"/>
    <hyperlink ref="B20" location="Macroeconomics!A1" display="Macroeconomics!A1"/>
    <hyperlink ref="B21" location="Indicators!A1" display="Indicators!A1"/>
    <hyperlink ref="B22" location="'Reserves classification'!A1" display="'Reserves classification'!A1"/>
    <hyperlink ref="B23" location="'Total reserves'!A1" display="'Total reserves'!A1"/>
    <hyperlink ref="B24" location="'Subsidiaries'' reserves'!A1" display="'Subsidiaries'' reserves'!A1"/>
    <hyperlink ref="B25" location="'Reserves set out by regions'!A1" display="'Reserves set out by regions'!A1"/>
    <hyperlink ref="B26" location="'Change in reserves'!A1" display="'Change in reserves'!A1"/>
    <hyperlink ref="B27" location="Licenses!A1" display="Licenses!A1"/>
    <hyperlink ref="B28" location="'Total production'!A1" display="'Total production'!A1"/>
    <hyperlink ref="B29" location="'Gas production (Q)'!A1" display="'Gas production (Q)'!A1"/>
    <hyperlink ref="B30" location="'Liquid hydrocarbons prod (Q)'!A1" display="'Liquid hydrocarbons prod (Q)'!A1"/>
    <hyperlink ref="B31" location="'Production set out by regions'!A1" display="'Production set out by regions'!A1"/>
    <hyperlink ref="B32" location="'Exploration and drilling'!A1" display="'Exploration and drilling'!A1"/>
    <hyperlink ref="B33" location="'Foreighn projects'!A1" display="'Foreighn projects'!A1"/>
    <hyperlink ref="B34" location="'Russian projects'!A1" display="'Russian projects'!A1"/>
    <hyperlink ref="B35" location="Transportation!A1" display="Transportation!A1"/>
    <hyperlink ref="B36" location="'Transportation projects'!A1" display="'Transportation projects'!A1"/>
    <hyperlink ref="B37" location="UGSF!A1" display="UGSF!A1"/>
    <hyperlink ref="B38" location="Refining!A1" display="Refining!A1"/>
    <hyperlink ref="B39" location="'Refining - subsidiaries'!A1" display="'Refining - subsidiaries'!A1"/>
    <hyperlink ref="B40" location="'Refineries, processing plants'!A1" display="'Refineries, processing plants'!A1"/>
    <hyperlink ref="B41" location="'Electric power'!A1" display="'Electric power'!A1"/>
    <hyperlink ref="B42" location="'Gas sales'!A1" display="'Gas sales'!A1"/>
    <hyperlink ref="B43" location="'Gas market in Russia'!A1" display="'Gas market in Russia'!A1"/>
    <hyperlink ref="B44" location="'Sales of liquid hydrocarbons'!A1" display="'Sales of liquid hydrocarbons'!A1"/>
    <hyperlink ref="B45" location="'Other sales (electr., transp.)'!A1" display="'Other sales (electr., transp.)'!A1"/>
    <hyperlink ref="B46" location="Ecology!A1" display="Ecology!A1"/>
    <hyperlink ref="B47" location="Personnel!A1" display="Personnel!A1"/>
    <hyperlink ref="B48" location="'Convertion table'!A1" display="'Convertion table'!A1"/>
    <hyperlink ref="B49" location="Glossary!A1" display="Glossary!A1"/>
    <hyperlink ref="A43" location="'Gas market in Russia'!A1" display="Gas market in Russia"/>
    <hyperlink ref="A40" location="'Refineries, processing plants'!A1" display="Location of gas processing, oil refining and petrochemical plants"/>
    <hyperlink ref="A38" location="Refining!A1" display="Processing of hydrocarbons and production of refined products"/>
    <hyperlink ref="A39" location="'Refining - subsidiaries'!A1" display="Refined products of Gazprom Group's major subsidiaries"/>
    <hyperlink ref="A28" location="'Total production'!A1" display="Gazprom Group’s hydrocarbons production in Russia"/>
    <hyperlink ref="A29" location="'Gas production (Q)'!A1" display="Gazprom Group’s quarterly gas production in Russia"/>
    <hyperlink ref="A30" location="'Liquid hydrocarbons prod (Q)'!A1" display="Gazprom Group’s quarterly production of liquid hydrocarbons in Russia"/>
    <hyperlink ref="A26" location="'Change in reserves'!A1" display="Change in Gazprom Group’s hydrocarbons reserves (categories A+B+C1) in Russia"/>
    <hyperlink ref="A24" location="'Subsidiaries'' reserves'!A1" display="Gazprom Group subsidiaries’ gas reserves in Russia"/>
    <hyperlink ref="A25" location="'Reserves set out by regions'!A1" display="Gazprom Group’s hydrocarbons reserves (categories A+B+C1) set out by regions of the Russian Federation"/>
    <hyperlink ref="A23" location="'Total reserves'!A1" display="Gazprom Group’s hydrocarbons reserves in Russia"/>
    <hyperlink ref="A22" location="'Reserves classification'!A1" display="Reserves classification"/>
    <hyperlink ref="A21" location="Indicators!A1" display="Market data"/>
    <hyperlink ref="A18" location="Preface!A1" display="Preface"/>
    <hyperlink ref="A49" location="Glossary!A1" display="Glossary of basic terms and abbreviations"/>
    <hyperlink ref="A48" location="'Convertion table'!A1" display="Convertion table"/>
    <hyperlink ref="A47" location="Personnel!A1" display="Personnel"/>
    <hyperlink ref="A46" location="Ecology!A1" display="Environmental measures, energy saving, research and development"/>
    <hyperlink ref="A45" location="'Other sales (electr., transp.)'!A1" display="Sales of electricity and heat energy, gas transportation sales"/>
    <hyperlink ref="A44" location="'Sales of liquid hydrocarbons'!A1" display="Sales of crude oil, gas condensate and refined products"/>
    <hyperlink ref="A42" location="'Gas sales'!A1" display="Sales of gas"/>
    <hyperlink ref="A41" location="'Electric power'!A1" display="Electric power and heat generation"/>
    <hyperlink ref="A37" location="UGSF!A1" display="Underground gas storage"/>
    <hyperlink ref="A36" location="'Transportation projects'!A1" display="Gas transportation projects"/>
    <hyperlink ref="A35" location="Transportation!A1" display="Gas transportation"/>
    <hyperlink ref="A34" location="'Russian projects'!A1" display="Promising fields in Russia"/>
    <hyperlink ref="A33" location="'Foreighn projects'!A1" display="Major projects in the field of hydrocarbon search, exploration, and production in foreign countries"/>
    <hyperlink ref="A32" location="'Exploration and drilling'!A1" display="Geologic exploration, production drilling and production capacity"/>
    <hyperlink ref="A31" location="'Production set out by regions'!A1" display="Gazprom Group’s hydrocarbons production set out by regions of the Russian Federation"/>
    <hyperlink ref="A27" location="Licenses!A1" display="Licenses"/>
    <hyperlink ref="A20" location="Macroeconomics!A1" display="Macroeconomic data"/>
    <hyperlink ref="A19" location="'Gazprom globaly'!A1" display="Gazprom in the Russian and world energy industry"/>
  </hyperlinks>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dimension ref="A1:R66"/>
  <sheetViews>
    <sheetView zoomScaleNormal="100" zoomScaleSheetLayoutView="100" workbookViewId="0"/>
  </sheetViews>
  <sheetFormatPr defaultColWidth="0" defaultRowHeight="13.2" zeroHeight="1" outlineLevelRow="1"/>
  <cols>
    <col min="1" max="1" width="39.109375" style="4" customWidth="1"/>
    <col min="2" max="4" width="9.44140625" style="4" customWidth="1"/>
    <col min="5" max="5" width="1.33203125" style="4" customWidth="1"/>
    <col min="6" max="9" width="9.44140625" style="4" customWidth="1"/>
    <col min="10" max="10" width="1.33203125" style="4" customWidth="1"/>
    <col min="11" max="14" width="9.44140625" style="4" customWidth="1"/>
    <col min="15" max="16384" width="0" style="4" hidden="1"/>
  </cols>
  <sheetData>
    <row r="1" spans="1:14" ht="18">
      <c r="A1" s="48" t="s">
        <v>1112</v>
      </c>
      <c r="B1" s="28"/>
      <c r="C1" s="28"/>
      <c r="D1" s="28"/>
      <c r="E1" s="49"/>
      <c r="F1" s="28"/>
      <c r="G1" s="28"/>
      <c r="H1" s="28"/>
      <c r="I1" s="28"/>
      <c r="J1" s="49"/>
      <c r="K1" s="28"/>
      <c r="L1" s="28"/>
      <c r="M1" s="28"/>
      <c r="N1" s="28"/>
    </row>
    <row r="2" spans="1:14" ht="22.2" customHeight="1">
      <c r="A2" s="152"/>
      <c r="B2" s="29" t="s">
        <v>349</v>
      </c>
      <c r="C2" s="504" t="s">
        <v>709</v>
      </c>
      <c r="D2" s="29" t="s">
        <v>350</v>
      </c>
      <c r="E2" s="130"/>
      <c r="F2" s="29" t="s">
        <v>349</v>
      </c>
      <c r="G2" s="504" t="s">
        <v>709</v>
      </c>
      <c r="H2" s="29" t="s">
        <v>350</v>
      </c>
      <c r="I2" s="29" t="s">
        <v>282</v>
      </c>
      <c r="J2" s="130"/>
      <c r="K2" s="29" t="s">
        <v>349</v>
      </c>
      <c r="L2" s="504" t="s">
        <v>709</v>
      </c>
      <c r="M2" s="29" t="s">
        <v>350</v>
      </c>
      <c r="N2" s="29" t="s">
        <v>282</v>
      </c>
    </row>
    <row r="3" spans="1:14" ht="12.75" customHeight="1">
      <c r="A3" s="152"/>
      <c r="B3" s="29" t="s">
        <v>321</v>
      </c>
      <c r="C3" s="29" t="s">
        <v>336</v>
      </c>
      <c r="D3" s="29" t="s">
        <v>336</v>
      </c>
      <c r="E3" s="130"/>
      <c r="F3" s="531" t="s">
        <v>322</v>
      </c>
      <c r="G3" s="531"/>
      <c r="H3" s="531"/>
      <c r="I3" s="531"/>
      <c r="J3" s="130"/>
      <c r="K3" s="531" t="s">
        <v>323</v>
      </c>
      <c r="L3" s="531"/>
      <c r="M3" s="531"/>
      <c r="N3" s="531"/>
    </row>
    <row r="4" spans="1:14" ht="26.25" hidden="1" customHeight="1" outlineLevel="1" thickBot="1">
      <c r="A4" s="164" t="s">
        <v>351</v>
      </c>
      <c r="B4" s="165">
        <v>29130.7</v>
      </c>
      <c r="C4" s="165">
        <v>1216.3</v>
      </c>
      <c r="D4" s="165">
        <v>1357.5</v>
      </c>
      <c r="E4" s="166"/>
      <c r="F4" s="165">
        <f>ROUND(B4*1.154,1)</f>
        <v>33616.800000000003</v>
      </c>
      <c r="G4" s="165">
        <f>ROUND(C4*1.43,1)</f>
        <v>1739.3</v>
      </c>
      <c r="H4" s="165">
        <f>ROUND(D4*1.43,1)</f>
        <v>1941.2</v>
      </c>
      <c r="I4" s="165">
        <f>SUM(F4:H4)</f>
        <v>37297.300000000003</v>
      </c>
      <c r="J4" s="166"/>
      <c r="K4" s="165">
        <f>ROUND(B4*5.89,1)</f>
        <v>171579.8</v>
      </c>
      <c r="L4" s="165">
        <f>ROUND(C4*8.18,1)</f>
        <v>9949.2999999999993</v>
      </c>
      <c r="M4" s="165">
        <f>ROUND(D4*7.33,1)</f>
        <v>9950.5</v>
      </c>
      <c r="N4" s="165">
        <f>SUM(K4:M4)</f>
        <v>191479.59999999998</v>
      </c>
    </row>
    <row r="5" spans="1:14" hidden="1" outlineLevel="1">
      <c r="A5" s="52" t="s">
        <v>352</v>
      </c>
      <c r="B5" s="167">
        <v>590.9</v>
      </c>
      <c r="C5" s="167">
        <v>11.9</v>
      </c>
      <c r="D5" s="167">
        <v>47</v>
      </c>
      <c r="E5" s="168"/>
      <c r="F5" s="167">
        <f>ROUND(B5*1.154,1)</f>
        <v>681.9</v>
      </c>
      <c r="G5" s="167">
        <f>ROUND(C5*1.43,1)</f>
        <v>17</v>
      </c>
      <c r="H5" s="167">
        <f>ROUND(D5*1.43,1)</f>
        <v>67.2</v>
      </c>
      <c r="I5" s="167">
        <f t="shared" ref="I5:I59" si="0">SUM(F5:H5)</f>
        <v>766.1</v>
      </c>
      <c r="J5" s="168"/>
      <c r="K5" s="167">
        <f>ROUND(B5*5.89,1)</f>
        <v>3480.4</v>
      </c>
      <c r="L5" s="167">
        <f>ROUND(C5*8.18,1)</f>
        <v>97.3</v>
      </c>
      <c r="M5" s="167">
        <f>ROUND(D5*7.33,1)</f>
        <v>344.5</v>
      </c>
      <c r="N5" s="167">
        <f t="shared" ref="N5:N59" si="1">SUM(K5:M5)</f>
        <v>3922.2000000000003</v>
      </c>
    </row>
    <row r="6" spans="1:14" ht="50.25" hidden="1" customHeight="1" outlineLevel="1">
      <c r="A6" s="52" t="s">
        <v>362</v>
      </c>
      <c r="B6" s="167">
        <v>-59.8</v>
      </c>
      <c r="C6" s="167">
        <v>-1.2</v>
      </c>
      <c r="D6" s="167">
        <v>0</v>
      </c>
      <c r="E6" s="169"/>
      <c r="F6" s="167">
        <f>ROUND(B6*1.154,1)</f>
        <v>-69</v>
      </c>
      <c r="G6" s="167">
        <f>ROUNDUP(C6*1.43,1)</f>
        <v>-1.8</v>
      </c>
      <c r="H6" s="167">
        <f t="shared" ref="H6:H48" si="2">ROUND(D6*1.43,1)</f>
        <v>0</v>
      </c>
      <c r="I6" s="167">
        <f t="shared" si="0"/>
        <v>-70.8</v>
      </c>
      <c r="J6" s="169"/>
      <c r="K6" s="167">
        <f t="shared" ref="K6:K60" si="3">ROUND(B6*5.89,1)</f>
        <v>-352.2</v>
      </c>
      <c r="L6" s="167">
        <f t="shared" ref="L6:L60" si="4">ROUND(C6*8.18,1)</f>
        <v>-9.8000000000000007</v>
      </c>
      <c r="M6" s="167">
        <f t="shared" ref="M6:M60" si="5">ROUND(D6*7.33,1)</f>
        <v>0</v>
      </c>
      <c r="N6" s="167">
        <f t="shared" si="1"/>
        <v>-362</v>
      </c>
    </row>
    <row r="7" spans="1:14" ht="27" hidden="1" customHeight="1" outlineLevel="1">
      <c r="A7" s="52" t="s">
        <v>353</v>
      </c>
      <c r="B7" s="167">
        <v>819.2</v>
      </c>
      <c r="C7" s="167">
        <v>0</v>
      </c>
      <c r="D7" s="167">
        <v>0.7</v>
      </c>
      <c r="E7" s="169"/>
      <c r="F7" s="167">
        <f>ROUNDDOWN(B7*1.154,1)</f>
        <v>945.3</v>
      </c>
      <c r="G7" s="167">
        <f>ROUND(C7*1.43,1)</f>
        <v>0</v>
      </c>
      <c r="H7" s="167">
        <f t="shared" si="2"/>
        <v>1</v>
      </c>
      <c r="I7" s="167">
        <f t="shared" si="0"/>
        <v>946.3</v>
      </c>
      <c r="J7" s="169"/>
      <c r="K7" s="167">
        <f t="shared" si="3"/>
        <v>4825.1000000000004</v>
      </c>
      <c r="L7" s="167">
        <f t="shared" si="4"/>
        <v>0</v>
      </c>
      <c r="M7" s="167">
        <f t="shared" si="5"/>
        <v>5.0999999999999996</v>
      </c>
      <c r="N7" s="167">
        <f t="shared" si="1"/>
        <v>4830.2000000000007</v>
      </c>
    </row>
    <row r="8" spans="1:14" ht="25.5" hidden="1" customHeight="1" outlineLevel="1">
      <c r="A8" s="42" t="s">
        <v>354</v>
      </c>
      <c r="B8" s="167">
        <v>817.7</v>
      </c>
      <c r="C8" s="167">
        <v>0</v>
      </c>
      <c r="D8" s="167">
        <v>0.2</v>
      </c>
      <c r="E8" s="169"/>
      <c r="F8" s="167">
        <f t="shared" ref="F8:F16" si="6">ROUND(B8*1.154,1)</f>
        <v>943.6</v>
      </c>
      <c r="G8" s="167">
        <f t="shared" ref="G8:G60" si="7">ROUND(C8*1.43,1)</f>
        <v>0</v>
      </c>
      <c r="H8" s="167">
        <f t="shared" si="2"/>
        <v>0.3</v>
      </c>
      <c r="I8" s="167">
        <f t="shared" si="0"/>
        <v>943.9</v>
      </c>
      <c r="J8" s="169"/>
      <c r="K8" s="167">
        <f t="shared" si="3"/>
        <v>4816.3</v>
      </c>
      <c r="L8" s="167">
        <f t="shared" si="4"/>
        <v>0</v>
      </c>
      <c r="M8" s="167">
        <f t="shared" si="5"/>
        <v>1.5</v>
      </c>
      <c r="N8" s="167">
        <f t="shared" si="1"/>
        <v>4817.8</v>
      </c>
    </row>
    <row r="9" spans="1:14" ht="15.6" hidden="1" outlineLevel="1">
      <c r="A9" s="170" t="s">
        <v>355</v>
      </c>
      <c r="B9" s="167">
        <v>1.5</v>
      </c>
      <c r="C9" s="167">
        <v>0</v>
      </c>
      <c r="D9" s="167">
        <v>0.5</v>
      </c>
      <c r="E9" s="169"/>
      <c r="F9" s="167">
        <f t="shared" si="6"/>
        <v>1.7</v>
      </c>
      <c r="G9" s="167">
        <f t="shared" si="7"/>
        <v>0</v>
      </c>
      <c r="H9" s="167">
        <f t="shared" si="2"/>
        <v>0.7</v>
      </c>
      <c r="I9" s="167">
        <f t="shared" si="0"/>
        <v>2.4</v>
      </c>
      <c r="J9" s="169"/>
      <c r="K9" s="167">
        <f t="shared" si="3"/>
        <v>8.8000000000000007</v>
      </c>
      <c r="L9" s="167">
        <f t="shared" si="4"/>
        <v>0</v>
      </c>
      <c r="M9" s="167">
        <f>ROUNDDOWN(D9*7.33,1)</f>
        <v>3.6</v>
      </c>
      <c r="N9" s="167">
        <f t="shared" si="1"/>
        <v>12.4</v>
      </c>
    </row>
    <row r="10" spans="1:14" ht="15.6" hidden="1" outlineLevel="1">
      <c r="A10" s="52" t="s">
        <v>356</v>
      </c>
      <c r="B10" s="167">
        <v>-9.5</v>
      </c>
      <c r="C10" s="167">
        <v>-0.1</v>
      </c>
      <c r="D10" s="167">
        <v>0</v>
      </c>
      <c r="E10" s="169"/>
      <c r="F10" s="167">
        <f t="shared" si="6"/>
        <v>-11</v>
      </c>
      <c r="G10" s="167">
        <f t="shared" si="7"/>
        <v>-0.1</v>
      </c>
      <c r="H10" s="167">
        <f t="shared" si="2"/>
        <v>0</v>
      </c>
      <c r="I10" s="167">
        <f t="shared" si="0"/>
        <v>-11.1</v>
      </c>
      <c r="J10" s="169"/>
      <c r="K10" s="167">
        <f t="shared" si="3"/>
        <v>-56</v>
      </c>
      <c r="L10" s="167">
        <f t="shared" si="4"/>
        <v>-0.8</v>
      </c>
      <c r="M10" s="167">
        <f t="shared" si="5"/>
        <v>0</v>
      </c>
      <c r="N10" s="167">
        <f t="shared" si="1"/>
        <v>-56.8</v>
      </c>
    </row>
    <row r="11" spans="1:14" hidden="1" outlineLevel="1">
      <c r="A11" s="52" t="s">
        <v>357</v>
      </c>
      <c r="B11" s="167">
        <v>0</v>
      </c>
      <c r="C11" s="167">
        <v>0</v>
      </c>
      <c r="D11" s="167">
        <v>0</v>
      </c>
      <c r="E11" s="168"/>
      <c r="F11" s="167">
        <f t="shared" si="6"/>
        <v>0</v>
      </c>
      <c r="G11" s="167">
        <f t="shared" si="7"/>
        <v>0</v>
      </c>
      <c r="H11" s="167">
        <f t="shared" si="2"/>
        <v>0</v>
      </c>
      <c r="I11" s="167">
        <f t="shared" si="0"/>
        <v>0</v>
      </c>
      <c r="J11" s="168"/>
      <c r="K11" s="167">
        <f t="shared" si="3"/>
        <v>0</v>
      </c>
      <c r="L11" s="167">
        <f t="shared" si="4"/>
        <v>0</v>
      </c>
      <c r="M11" s="167">
        <f t="shared" si="5"/>
        <v>0</v>
      </c>
      <c r="N11" s="167">
        <f t="shared" si="1"/>
        <v>0</v>
      </c>
    </row>
    <row r="12" spans="1:14" hidden="1" outlineLevel="1">
      <c r="A12" s="52" t="s">
        <v>358</v>
      </c>
      <c r="B12" s="167">
        <v>0</v>
      </c>
      <c r="C12" s="167">
        <v>0</v>
      </c>
      <c r="D12" s="167">
        <v>0</v>
      </c>
      <c r="E12" s="168"/>
      <c r="F12" s="167">
        <f t="shared" si="6"/>
        <v>0</v>
      </c>
      <c r="G12" s="167">
        <f t="shared" si="7"/>
        <v>0</v>
      </c>
      <c r="H12" s="167">
        <f t="shared" si="2"/>
        <v>0</v>
      </c>
      <c r="I12" s="167">
        <f t="shared" si="0"/>
        <v>0</v>
      </c>
      <c r="J12" s="168"/>
      <c r="K12" s="167">
        <f t="shared" si="3"/>
        <v>0</v>
      </c>
      <c r="L12" s="167">
        <f t="shared" si="4"/>
        <v>0</v>
      </c>
      <c r="M12" s="167">
        <f t="shared" si="5"/>
        <v>0</v>
      </c>
      <c r="N12" s="167">
        <f t="shared" si="1"/>
        <v>0</v>
      </c>
    </row>
    <row r="13" spans="1:14" hidden="1" outlineLevel="1">
      <c r="A13" s="52" t="s">
        <v>359</v>
      </c>
      <c r="B13" s="167">
        <v>-59.4</v>
      </c>
      <c r="C13" s="167">
        <v>-1.5</v>
      </c>
      <c r="D13" s="167">
        <v>15.7</v>
      </c>
      <c r="E13" s="168"/>
      <c r="F13" s="167">
        <f t="shared" si="6"/>
        <v>-68.5</v>
      </c>
      <c r="G13" s="167">
        <f t="shared" si="7"/>
        <v>-2.1</v>
      </c>
      <c r="H13" s="167">
        <f t="shared" si="2"/>
        <v>22.5</v>
      </c>
      <c r="I13" s="167">
        <f t="shared" si="0"/>
        <v>-48.099999999999994</v>
      </c>
      <c r="J13" s="168"/>
      <c r="K13" s="167">
        <f t="shared" si="3"/>
        <v>-349.9</v>
      </c>
      <c r="L13" s="167">
        <f>ROUNDDOWN(C13*8.18,1)</f>
        <v>-12.2</v>
      </c>
      <c r="M13" s="167">
        <f t="shared" si="5"/>
        <v>115.1</v>
      </c>
      <c r="N13" s="167">
        <f t="shared" si="1"/>
        <v>-246.99999999999997</v>
      </c>
    </row>
    <row r="14" spans="1:14" ht="13.8" hidden="1" outlineLevel="1" thickBot="1">
      <c r="A14" s="63" t="s">
        <v>360</v>
      </c>
      <c r="B14" s="171">
        <v>-557.9</v>
      </c>
      <c r="C14" s="171">
        <v>-8.4</v>
      </c>
      <c r="D14" s="171">
        <v>-34</v>
      </c>
      <c r="E14" s="168"/>
      <c r="F14" s="171">
        <f t="shared" si="6"/>
        <v>-643.79999999999995</v>
      </c>
      <c r="G14" s="171">
        <f t="shared" si="7"/>
        <v>-12</v>
      </c>
      <c r="H14" s="171">
        <f t="shared" si="2"/>
        <v>-48.6</v>
      </c>
      <c r="I14" s="171">
        <f t="shared" si="0"/>
        <v>-704.4</v>
      </c>
      <c r="J14" s="168"/>
      <c r="K14" s="171">
        <f t="shared" si="3"/>
        <v>-3286</v>
      </c>
      <c r="L14" s="171">
        <f t="shared" si="4"/>
        <v>-68.7</v>
      </c>
      <c r="M14" s="171">
        <f t="shared" si="5"/>
        <v>-249.2</v>
      </c>
      <c r="N14" s="171">
        <f t="shared" si="1"/>
        <v>-3603.8999999999996</v>
      </c>
    </row>
    <row r="15" spans="1:14" ht="27" customHeight="1" collapsed="1" thickBot="1">
      <c r="A15" s="164" t="s">
        <v>361</v>
      </c>
      <c r="B15" s="165">
        <v>29854.2</v>
      </c>
      <c r="C15" s="165">
        <v>1217</v>
      </c>
      <c r="D15" s="165">
        <v>1386.9</v>
      </c>
      <c r="E15" s="166"/>
      <c r="F15" s="165">
        <f t="shared" si="6"/>
        <v>34451.699999999997</v>
      </c>
      <c r="G15" s="165">
        <f t="shared" si="7"/>
        <v>1740.3</v>
      </c>
      <c r="H15" s="165">
        <f t="shared" si="2"/>
        <v>1983.3</v>
      </c>
      <c r="I15" s="165">
        <f t="shared" si="0"/>
        <v>38175.300000000003</v>
      </c>
      <c r="J15" s="166"/>
      <c r="K15" s="165">
        <f t="shared" si="3"/>
        <v>175841.2</v>
      </c>
      <c r="L15" s="165">
        <f t="shared" si="4"/>
        <v>9955.1</v>
      </c>
      <c r="M15" s="165">
        <f t="shared" si="5"/>
        <v>10166</v>
      </c>
      <c r="N15" s="165">
        <f t="shared" si="1"/>
        <v>195962.30000000002</v>
      </c>
    </row>
    <row r="16" spans="1:14" ht="23.4" customHeight="1">
      <c r="A16" s="52" t="s">
        <v>352</v>
      </c>
      <c r="B16" s="167">
        <v>592.1</v>
      </c>
      <c r="C16" s="167">
        <v>9.6999999999999993</v>
      </c>
      <c r="D16" s="167">
        <v>19.899999999999999</v>
      </c>
      <c r="E16" s="168"/>
      <c r="F16" s="167">
        <f t="shared" si="6"/>
        <v>683.3</v>
      </c>
      <c r="G16" s="167">
        <f t="shared" si="7"/>
        <v>13.9</v>
      </c>
      <c r="H16" s="167">
        <f t="shared" si="2"/>
        <v>28.5</v>
      </c>
      <c r="I16" s="167">
        <f t="shared" si="0"/>
        <v>725.69999999999993</v>
      </c>
      <c r="J16" s="168"/>
      <c r="K16" s="167">
        <f t="shared" si="3"/>
        <v>3487.5</v>
      </c>
      <c r="L16" s="167">
        <f t="shared" si="4"/>
        <v>79.3</v>
      </c>
      <c r="M16" s="167">
        <f t="shared" si="5"/>
        <v>145.9</v>
      </c>
      <c r="N16" s="167">
        <f t="shared" si="1"/>
        <v>3712.7000000000003</v>
      </c>
    </row>
    <row r="17" spans="1:18" ht="42.75" customHeight="1">
      <c r="A17" s="52" t="s">
        <v>362</v>
      </c>
      <c r="B17" s="167">
        <v>-149.69999999999999</v>
      </c>
      <c r="C17" s="167">
        <v>-1.8</v>
      </c>
      <c r="D17" s="167">
        <v>-0.2</v>
      </c>
      <c r="E17" s="168"/>
      <c r="F17" s="167">
        <f>ROUNDDOWN(B17*1.154,1)</f>
        <v>-172.7</v>
      </c>
      <c r="G17" s="167">
        <f t="shared" si="7"/>
        <v>-2.6</v>
      </c>
      <c r="H17" s="167">
        <f t="shared" si="2"/>
        <v>-0.3</v>
      </c>
      <c r="I17" s="167">
        <f t="shared" si="0"/>
        <v>-175.6</v>
      </c>
      <c r="J17" s="168"/>
      <c r="K17" s="167">
        <f>ROUNDDOWN(B17*5.89,1)</f>
        <v>-881.7</v>
      </c>
      <c r="L17" s="167">
        <f t="shared" si="4"/>
        <v>-14.7</v>
      </c>
      <c r="M17" s="167">
        <f t="shared" si="5"/>
        <v>-1.5</v>
      </c>
      <c r="N17" s="167">
        <f t="shared" si="1"/>
        <v>-897.90000000000009</v>
      </c>
    </row>
    <row r="18" spans="1:18" ht="26.25" customHeight="1">
      <c r="A18" s="52" t="s">
        <v>353</v>
      </c>
      <c r="B18" s="167">
        <v>53.1</v>
      </c>
      <c r="C18" s="167">
        <v>0.3</v>
      </c>
      <c r="D18" s="167">
        <v>28</v>
      </c>
      <c r="E18" s="168"/>
      <c r="F18" s="167">
        <f t="shared" ref="F18:F27" si="8">ROUND(B18*1.154,1)</f>
        <v>61.3</v>
      </c>
      <c r="G18" s="167">
        <f t="shared" si="7"/>
        <v>0.4</v>
      </c>
      <c r="H18" s="167">
        <f t="shared" si="2"/>
        <v>40</v>
      </c>
      <c r="I18" s="167">
        <f t="shared" si="0"/>
        <v>101.69999999999999</v>
      </c>
      <c r="J18" s="168"/>
      <c r="K18" s="167">
        <f>ROUNDDOWN(B18*5.89,1)</f>
        <v>312.7</v>
      </c>
      <c r="L18" s="167">
        <f t="shared" si="4"/>
        <v>2.5</v>
      </c>
      <c r="M18" s="167">
        <f t="shared" si="5"/>
        <v>205.2</v>
      </c>
      <c r="N18" s="167">
        <f t="shared" si="1"/>
        <v>520.4</v>
      </c>
    </row>
    <row r="19" spans="1:18" ht="27" customHeight="1">
      <c r="A19" s="42" t="s">
        <v>354</v>
      </c>
      <c r="B19" s="167">
        <v>19.3</v>
      </c>
      <c r="C19" s="167">
        <v>0.3</v>
      </c>
      <c r="D19" s="167">
        <v>15</v>
      </c>
      <c r="E19" s="169"/>
      <c r="F19" s="167">
        <f t="shared" si="8"/>
        <v>22.3</v>
      </c>
      <c r="G19" s="167">
        <f t="shared" si="7"/>
        <v>0.4</v>
      </c>
      <c r="H19" s="167">
        <f t="shared" si="2"/>
        <v>21.5</v>
      </c>
      <c r="I19" s="167">
        <f t="shared" si="0"/>
        <v>44.2</v>
      </c>
      <c r="J19" s="169"/>
      <c r="K19" s="167">
        <f>ROUNDDOWN(B19*5.89,1)</f>
        <v>113.6</v>
      </c>
      <c r="L19" s="167">
        <f t="shared" si="4"/>
        <v>2.5</v>
      </c>
      <c r="M19" s="167">
        <f>ROUNDDOWN(D19*7.33,1)</f>
        <v>109.9</v>
      </c>
      <c r="N19" s="167">
        <f t="shared" si="1"/>
        <v>226</v>
      </c>
    </row>
    <row r="20" spans="1:18" ht="15.6">
      <c r="A20" s="170" t="s">
        <v>355</v>
      </c>
      <c r="B20" s="167">
        <v>33.799999999999997</v>
      </c>
      <c r="C20" s="167">
        <v>0</v>
      </c>
      <c r="D20" s="167">
        <v>13</v>
      </c>
      <c r="E20" s="169"/>
      <c r="F20" s="167">
        <f t="shared" si="8"/>
        <v>39</v>
      </c>
      <c r="G20" s="167">
        <f t="shared" si="7"/>
        <v>0</v>
      </c>
      <c r="H20" s="167">
        <f>ROUNDDOWN(D20*1.43,1)</f>
        <v>18.5</v>
      </c>
      <c r="I20" s="167">
        <f t="shared" si="0"/>
        <v>57.5</v>
      </c>
      <c r="J20" s="169"/>
      <c r="K20" s="167">
        <f t="shared" si="3"/>
        <v>199.1</v>
      </c>
      <c r="L20" s="167">
        <f t="shared" si="4"/>
        <v>0</v>
      </c>
      <c r="M20" s="167">
        <f t="shared" si="5"/>
        <v>95.3</v>
      </c>
      <c r="N20" s="167">
        <f t="shared" si="1"/>
        <v>294.39999999999998</v>
      </c>
    </row>
    <row r="21" spans="1:18" ht="15.6">
      <c r="A21" s="52" t="s">
        <v>356</v>
      </c>
      <c r="B21" s="167">
        <v>0</v>
      </c>
      <c r="C21" s="167">
        <v>0</v>
      </c>
      <c r="D21" s="167">
        <v>0</v>
      </c>
      <c r="E21" s="169"/>
      <c r="F21" s="167">
        <f t="shared" si="8"/>
        <v>0</v>
      </c>
      <c r="G21" s="167">
        <f t="shared" si="7"/>
        <v>0</v>
      </c>
      <c r="H21" s="167">
        <f t="shared" si="2"/>
        <v>0</v>
      </c>
      <c r="I21" s="167">
        <f t="shared" si="0"/>
        <v>0</v>
      </c>
      <c r="J21" s="169"/>
      <c r="K21" s="167">
        <f t="shared" si="3"/>
        <v>0</v>
      </c>
      <c r="L21" s="167">
        <f t="shared" si="4"/>
        <v>0</v>
      </c>
      <c r="M21" s="167">
        <f t="shared" si="5"/>
        <v>0</v>
      </c>
      <c r="N21" s="167">
        <f t="shared" si="1"/>
        <v>0</v>
      </c>
    </row>
    <row r="22" spans="1:18">
      <c r="A22" s="52" t="s">
        <v>357</v>
      </c>
      <c r="B22" s="167">
        <v>0</v>
      </c>
      <c r="C22" s="167">
        <v>0</v>
      </c>
      <c r="D22" s="167">
        <v>5.4</v>
      </c>
      <c r="E22" s="168"/>
      <c r="F22" s="167">
        <f t="shared" si="8"/>
        <v>0</v>
      </c>
      <c r="G22" s="167">
        <f t="shared" si="7"/>
        <v>0</v>
      </c>
      <c r="H22" s="167">
        <f t="shared" si="2"/>
        <v>7.7</v>
      </c>
      <c r="I22" s="167">
        <f t="shared" si="0"/>
        <v>7.7</v>
      </c>
      <c r="J22" s="168"/>
      <c r="K22" s="167">
        <f t="shared" si="3"/>
        <v>0</v>
      </c>
      <c r="L22" s="167">
        <f t="shared" si="4"/>
        <v>0</v>
      </c>
      <c r="M22" s="167">
        <f t="shared" si="5"/>
        <v>39.6</v>
      </c>
      <c r="N22" s="167">
        <f t="shared" si="1"/>
        <v>39.6</v>
      </c>
    </row>
    <row r="23" spans="1:18">
      <c r="A23" s="52" t="s">
        <v>358</v>
      </c>
      <c r="B23" s="167">
        <v>0</v>
      </c>
      <c r="C23" s="167">
        <v>0</v>
      </c>
      <c r="D23" s="167">
        <v>0</v>
      </c>
      <c r="E23" s="168"/>
      <c r="F23" s="167">
        <f t="shared" si="8"/>
        <v>0</v>
      </c>
      <c r="G23" s="167">
        <f t="shared" si="7"/>
        <v>0</v>
      </c>
      <c r="H23" s="167">
        <f t="shared" si="2"/>
        <v>0</v>
      </c>
      <c r="I23" s="167">
        <f t="shared" si="0"/>
        <v>0</v>
      </c>
      <c r="J23" s="168"/>
      <c r="K23" s="167">
        <f t="shared" si="3"/>
        <v>0</v>
      </c>
      <c r="L23" s="167">
        <f t="shared" si="4"/>
        <v>0</v>
      </c>
      <c r="M23" s="167">
        <f t="shared" si="5"/>
        <v>0</v>
      </c>
      <c r="N23" s="167">
        <f t="shared" si="1"/>
        <v>0</v>
      </c>
    </row>
    <row r="24" spans="1:18" ht="12.75" customHeight="1">
      <c r="A24" s="52" t="s">
        <v>359</v>
      </c>
      <c r="B24" s="167">
        <v>-14.5</v>
      </c>
      <c r="C24" s="167">
        <v>-4.5</v>
      </c>
      <c r="D24" s="167">
        <v>103.9</v>
      </c>
      <c r="E24" s="168"/>
      <c r="F24" s="167">
        <f t="shared" si="8"/>
        <v>-16.7</v>
      </c>
      <c r="G24" s="167">
        <f t="shared" si="7"/>
        <v>-6.4</v>
      </c>
      <c r="H24" s="167">
        <f t="shared" si="2"/>
        <v>148.6</v>
      </c>
      <c r="I24" s="167">
        <f t="shared" si="0"/>
        <v>125.5</v>
      </c>
      <c r="J24" s="168"/>
      <c r="K24" s="167">
        <f t="shared" si="3"/>
        <v>-85.4</v>
      </c>
      <c r="L24" s="167">
        <f t="shared" si="4"/>
        <v>-36.799999999999997</v>
      </c>
      <c r="M24" s="167">
        <f t="shared" si="5"/>
        <v>761.6</v>
      </c>
      <c r="N24" s="167">
        <f t="shared" si="1"/>
        <v>639.4</v>
      </c>
    </row>
    <row r="25" spans="1:18" ht="13.8" thickBot="1">
      <c r="A25" s="63" t="s">
        <v>360</v>
      </c>
      <c r="B25" s="171">
        <v>-549.79999999999995</v>
      </c>
      <c r="C25" s="171">
        <v>-8.1999999999999993</v>
      </c>
      <c r="D25" s="171">
        <v>-34</v>
      </c>
      <c r="E25" s="168"/>
      <c r="F25" s="171">
        <f t="shared" si="8"/>
        <v>-634.5</v>
      </c>
      <c r="G25" s="171">
        <f t="shared" si="7"/>
        <v>-11.7</v>
      </c>
      <c r="H25" s="171">
        <f t="shared" si="2"/>
        <v>-48.6</v>
      </c>
      <c r="I25" s="171">
        <f t="shared" si="0"/>
        <v>-694.80000000000007</v>
      </c>
      <c r="J25" s="168"/>
      <c r="K25" s="171">
        <f t="shared" si="3"/>
        <v>-3238.3</v>
      </c>
      <c r="L25" s="171">
        <f t="shared" si="4"/>
        <v>-67.099999999999994</v>
      </c>
      <c r="M25" s="171">
        <f t="shared" si="5"/>
        <v>-249.2</v>
      </c>
      <c r="N25" s="171">
        <f t="shared" si="1"/>
        <v>-3554.6</v>
      </c>
      <c r="O25" s="384"/>
      <c r="P25" s="384"/>
      <c r="Q25" s="384"/>
      <c r="R25" s="384"/>
    </row>
    <row r="26" spans="1:18" ht="28.5" customHeight="1" thickBot="1">
      <c r="A26" s="172" t="s">
        <v>363</v>
      </c>
      <c r="B26" s="165">
        <v>29785.4</v>
      </c>
      <c r="C26" s="165">
        <v>1212.5</v>
      </c>
      <c r="D26" s="165">
        <v>1509.9</v>
      </c>
      <c r="E26" s="166"/>
      <c r="F26" s="165">
        <f t="shared" si="8"/>
        <v>34372.400000000001</v>
      </c>
      <c r="G26" s="165">
        <f t="shared" si="7"/>
        <v>1733.9</v>
      </c>
      <c r="H26" s="165">
        <f t="shared" si="2"/>
        <v>2159.1999999999998</v>
      </c>
      <c r="I26" s="165">
        <f t="shared" si="0"/>
        <v>38265.5</v>
      </c>
      <c r="J26" s="166"/>
      <c r="K26" s="165">
        <f t="shared" si="3"/>
        <v>175436</v>
      </c>
      <c r="L26" s="165">
        <f t="shared" si="4"/>
        <v>9918.2999999999993</v>
      </c>
      <c r="M26" s="165">
        <f t="shared" si="5"/>
        <v>11067.6</v>
      </c>
      <c r="N26" s="165">
        <f t="shared" si="1"/>
        <v>196421.9</v>
      </c>
    </row>
    <row r="27" spans="1:18" ht="22.95" customHeight="1">
      <c r="A27" s="40" t="s">
        <v>352</v>
      </c>
      <c r="B27" s="168">
        <v>583.4</v>
      </c>
      <c r="C27" s="168">
        <v>6.9</v>
      </c>
      <c r="D27" s="168">
        <v>54.1</v>
      </c>
      <c r="E27" s="168"/>
      <c r="F27" s="168">
        <f t="shared" si="8"/>
        <v>673.2</v>
      </c>
      <c r="G27" s="168">
        <f t="shared" si="7"/>
        <v>9.9</v>
      </c>
      <c r="H27" s="168">
        <f t="shared" si="2"/>
        <v>77.400000000000006</v>
      </c>
      <c r="I27" s="168">
        <f t="shared" si="0"/>
        <v>760.5</v>
      </c>
      <c r="J27" s="168"/>
      <c r="K27" s="168">
        <f t="shared" si="3"/>
        <v>3436.2</v>
      </c>
      <c r="L27" s="168">
        <f t="shared" si="4"/>
        <v>56.4</v>
      </c>
      <c r="M27" s="168">
        <f t="shared" si="5"/>
        <v>396.6</v>
      </c>
      <c r="N27" s="168">
        <f t="shared" si="1"/>
        <v>3889.2</v>
      </c>
    </row>
    <row r="28" spans="1:18" ht="33.75" customHeight="1">
      <c r="A28" s="52" t="s">
        <v>362</v>
      </c>
      <c r="B28" s="167">
        <v>-25</v>
      </c>
      <c r="C28" s="167">
        <v>-1.4</v>
      </c>
      <c r="D28" s="167">
        <v>-3.1</v>
      </c>
      <c r="E28" s="168"/>
      <c r="F28" s="167">
        <f>ROUNDDOWN(B28*1.154,1)</f>
        <v>-28.8</v>
      </c>
      <c r="G28" s="167">
        <f t="shared" si="7"/>
        <v>-2</v>
      </c>
      <c r="H28" s="167">
        <f>ROUNDUP(D28*1.43,1)</f>
        <v>-4.5</v>
      </c>
      <c r="I28" s="167">
        <f t="shared" si="0"/>
        <v>-35.299999999999997</v>
      </c>
      <c r="J28" s="168"/>
      <c r="K28" s="167">
        <f t="shared" si="3"/>
        <v>-147.30000000000001</v>
      </c>
      <c r="L28" s="167">
        <f t="shared" si="4"/>
        <v>-11.5</v>
      </c>
      <c r="M28" s="167">
        <f t="shared" si="5"/>
        <v>-22.7</v>
      </c>
      <c r="N28" s="167">
        <f t="shared" si="1"/>
        <v>-181.5</v>
      </c>
    </row>
    <row r="29" spans="1:18" ht="26.25" customHeight="1">
      <c r="A29" s="52" t="s">
        <v>353</v>
      </c>
      <c r="B29" s="167">
        <v>3326.6</v>
      </c>
      <c r="C29" s="167">
        <v>77.7</v>
      </c>
      <c r="D29" s="167">
        <v>67.900000000000006</v>
      </c>
      <c r="E29" s="168"/>
      <c r="F29" s="167">
        <f>ROUND(B29*1.154,1)</f>
        <v>3838.9</v>
      </c>
      <c r="G29" s="167">
        <f t="shared" si="7"/>
        <v>111.1</v>
      </c>
      <c r="H29" s="167">
        <f t="shared" si="2"/>
        <v>97.1</v>
      </c>
      <c r="I29" s="167">
        <f t="shared" si="0"/>
        <v>4047.1</v>
      </c>
      <c r="J29" s="168"/>
      <c r="K29" s="167">
        <f t="shared" si="3"/>
        <v>19593.7</v>
      </c>
      <c r="L29" s="167">
        <f t="shared" si="4"/>
        <v>635.6</v>
      </c>
      <c r="M29" s="167">
        <f t="shared" si="5"/>
        <v>497.7</v>
      </c>
      <c r="N29" s="167">
        <f t="shared" si="1"/>
        <v>20727</v>
      </c>
    </row>
    <row r="30" spans="1:18">
      <c r="A30" s="42" t="s">
        <v>354</v>
      </c>
      <c r="B30" s="167">
        <v>17.2</v>
      </c>
      <c r="C30" s="167">
        <v>0.9</v>
      </c>
      <c r="D30" s="167">
        <v>0</v>
      </c>
      <c r="E30" s="168"/>
      <c r="F30" s="167">
        <f>ROUND(B30*1.154,1)</f>
        <v>19.8</v>
      </c>
      <c r="G30" s="167">
        <f>ROUND(C30*1.43,1)</f>
        <v>1.3</v>
      </c>
      <c r="H30" s="167">
        <f t="shared" si="2"/>
        <v>0</v>
      </c>
      <c r="I30" s="167">
        <f t="shared" si="0"/>
        <v>21.1</v>
      </c>
      <c r="J30" s="168"/>
      <c r="K30" s="167">
        <f>ROUNDUP(B30*5.89,1)</f>
        <v>101.39999999999999</v>
      </c>
      <c r="L30" s="167">
        <f>ROUND(C30*8.18,1)</f>
        <v>7.4</v>
      </c>
      <c r="M30" s="167">
        <f t="shared" si="5"/>
        <v>0</v>
      </c>
      <c r="N30" s="167">
        <f t="shared" si="1"/>
        <v>108.8</v>
      </c>
    </row>
    <row r="31" spans="1:18">
      <c r="A31" s="42" t="s">
        <v>355</v>
      </c>
      <c r="B31" s="167">
        <v>1.5</v>
      </c>
      <c r="C31" s="167">
        <v>0</v>
      </c>
      <c r="D31" s="167">
        <v>1.5</v>
      </c>
      <c r="E31" s="168"/>
      <c r="F31" s="167">
        <f>ROUND(B31*1.154,1)</f>
        <v>1.7</v>
      </c>
      <c r="G31" s="167">
        <f>ROUND(C31*1.43,1)</f>
        <v>0</v>
      </c>
      <c r="H31" s="167">
        <f>ROUND(D31*1.43,1)</f>
        <v>2.1</v>
      </c>
      <c r="I31" s="167">
        <f>SUM(F31:H31)</f>
        <v>3.8</v>
      </c>
      <c r="J31" s="168"/>
      <c r="K31" s="167">
        <f>ROUND(B31*5.89,1)</f>
        <v>8.8000000000000007</v>
      </c>
      <c r="L31" s="167">
        <f>ROUND(C31*8.18,1)</f>
        <v>0</v>
      </c>
      <c r="M31" s="167">
        <f>ROUND(D31*7.33,1)</f>
        <v>11</v>
      </c>
      <c r="N31" s="167">
        <f>SUM(K31:M31)</f>
        <v>19.8</v>
      </c>
    </row>
    <row r="32" spans="1:18" ht="40.5" customHeight="1">
      <c r="A32" s="42" t="s">
        <v>364</v>
      </c>
      <c r="B32" s="167">
        <v>3307.9</v>
      </c>
      <c r="C32" s="167">
        <v>76.8</v>
      </c>
      <c r="D32" s="167">
        <v>66.400000000000006</v>
      </c>
      <c r="E32" s="49"/>
      <c r="F32" s="167">
        <f>ROUNDUP(B32*1.154,1)</f>
        <v>3817.4</v>
      </c>
      <c r="G32" s="167">
        <f>ROUND(C32*1.43,1)</f>
        <v>109.8</v>
      </c>
      <c r="H32" s="167">
        <f>ROUND(D32*1.43,1)</f>
        <v>95</v>
      </c>
      <c r="I32" s="167">
        <f>SUM(F32:H32)</f>
        <v>4022.2000000000003</v>
      </c>
      <c r="J32" s="168"/>
      <c r="K32" s="167">
        <f>ROUND(B32*5.89,1)</f>
        <v>19483.5</v>
      </c>
      <c r="L32" s="167">
        <f>ROUNDDOWN(C32*8.18,1)</f>
        <v>628.20000000000005</v>
      </c>
      <c r="M32" s="167">
        <f>ROUND(D32*7.33,1)</f>
        <v>486.7</v>
      </c>
      <c r="N32" s="167">
        <f>SUM(K32:M32)</f>
        <v>20598.400000000001</v>
      </c>
    </row>
    <row r="33" spans="1:14">
      <c r="A33" s="52" t="s">
        <v>356</v>
      </c>
      <c r="B33" s="167">
        <v>-0.2</v>
      </c>
      <c r="C33" s="167">
        <v>0</v>
      </c>
      <c r="D33" s="167">
        <v>-0.5</v>
      </c>
      <c r="E33" s="168"/>
      <c r="F33" s="167">
        <f t="shared" ref="F33:F54" si="9">ROUND(B33*1.154,1)</f>
        <v>-0.2</v>
      </c>
      <c r="G33" s="167">
        <f t="shared" si="7"/>
        <v>0</v>
      </c>
      <c r="H33" s="167">
        <f t="shared" si="2"/>
        <v>-0.7</v>
      </c>
      <c r="I33" s="167">
        <f t="shared" si="0"/>
        <v>-0.89999999999999991</v>
      </c>
      <c r="J33" s="168"/>
      <c r="K33" s="167">
        <f t="shared" si="3"/>
        <v>-1.2</v>
      </c>
      <c r="L33" s="167">
        <f>ROUND(C33*8.18,1)</f>
        <v>0</v>
      </c>
      <c r="M33" s="167">
        <f t="shared" si="5"/>
        <v>-3.7</v>
      </c>
      <c r="N33" s="167">
        <f t="shared" si="1"/>
        <v>-4.9000000000000004</v>
      </c>
    </row>
    <row r="34" spans="1:14">
      <c r="A34" s="52" t="s">
        <v>357</v>
      </c>
      <c r="B34" s="167">
        <v>1.6</v>
      </c>
      <c r="C34" s="167">
        <v>0</v>
      </c>
      <c r="D34" s="167">
        <v>3.1</v>
      </c>
      <c r="E34" s="168"/>
      <c r="F34" s="167">
        <f t="shared" si="9"/>
        <v>1.8</v>
      </c>
      <c r="G34" s="167">
        <f t="shared" si="7"/>
        <v>0</v>
      </c>
      <c r="H34" s="167">
        <f t="shared" si="2"/>
        <v>4.4000000000000004</v>
      </c>
      <c r="I34" s="167">
        <f t="shared" si="0"/>
        <v>6.2</v>
      </c>
      <c r="J34" s="168"/>
      <c r="K34" s="167">
        <f t="shared" si="3"/>
        <v>9.4</v>
      </c>
      <c r="L34" s="167">
        <f t="shared" si="4"/>
        <v>0</v>
      </c>
      <c r="M34" s="167">
        <f t="shared" si="5"/>
        <v>22.7</v>
      </c>
      <c r="N34" s="167">
        <f t="shared" si="1"/>
        <v>32.1</v>
      </c>
    </row>
    <row r="35" spans="1:14">
      <c r="A35" s="52" t="s">
        <v>358</v>
      </c>
      <c r="B35" s="167">
        <v>0</v>
      </c>
      <c r="C35" s="167">
        <v>0</v>
      </c>
      <c r="D35" s="167">
        <v>0</v>
      </c>
      <c r="E35" s="173"/>
      <c r="F35" s="167">
        <f t="shared" si="9"/>
        <v>0</v>
      </c>
      <c r="G35" s="167">
        <f t="shared" si="7"/>
        <v>0</v>
      </c>
      <c r="H35" s="167">
        <f t="shared" si="2"/>
        <v>0</v>
      </c>
      <c r="I35" s="174">
        <f t="shared" si="0"/>
        <v>0</v>
      </c>
      <c r="J35" s="173"/>
      <c r="K35" s="167">
        <f t="shared" si="3"/>
        <v>0</v>
      </c>
      <c r="L35" s="167">
        <f t="shared" si="4"/>
        <v>0</v>
      </c>
      <c r="M35" s="167">
        <f t="shared" si="5"/>
        <v>0</v>
      </c>
      <c r="N35" s="174">
        <f t="shared" si="1"/>
        <v>0</v>
      </c>
    </row>
    <row r="36" spans="1:14">
      <c r="A36" s="52" t="s">
        <v>359</v>
      </c>
      <c r="B36" s="167">
        <v>1.9</v>
      </c>
      <c r="C36" s="167">
        <v>-0.6</v>
      </c>
      <c r="D36" s="167">
        <v>2.2999999999999998</v>
      </c>
      <c r="E36" s="168"/>
      <c r="F36" s="167">
        <f t="shared" si="9"/>
        <v>2.2000000000000002</v>
      </c>
      <c r="G36" s="167">
        <f t="shared" si="7"/>
        <v>-0.9</v>
      </c>
      <c r="H36" s="167">
        <f t="shared" si="2"/>
        <v>3.3</v>
      </c>
      <c r="I36" s="167">
        <f t="shared" si="0"/>
        <v>4.5999999999999996</v>
      </c>
      <c r="J36" s="168"/>
      <c r="K36" s="167">
        <f t="shared" si="3"/>
        <v>11.2</v>
      </c>
      <c r="L36" s="167">
        <f t="shared" si="4"/>
        <v>-4.9000000000000004</v>
      </c>
      <c r="M36" s="167">
        <f t="shared" si="5"/>
        <v>16.899999999999999</v>
      </c>
      <c r="N36" s="167">
        <f t="shared" si="1"/>
        <v>23.199999999999996</v>
      </c>
    </row>
    <row r="37" spans="1:14" ht="25.5" customHeight="1" thickBot="1">
      <c r="A37" s="63" t="s">
        <v>360</v>
      </c>
      <c r="B37" s="171">
        <v>-550.5</v>
      </c>
      <c r="C37" s="171">
        <v>-8</v>
      </c>
      <c r="D37" s="171">
        <v>-32</v>
      </c>
      <c r="E37" s="168"/>
      <c r="F37" s="171">
        <f t="shared" si="9"/>
        <v>-635.29999999999995</v>
      </c>
      <c r="G37" s="171">
        <f t="shared" si="7"/>
        <v>-11.4</v>
      </c>
      <c r="H37" s="171">
        <f t="shared" si="2"/>
        <v>-45.8</v>
      </c>
      <c r="I37" s="171">
        <f t="shared" si="0"/>
        <v>-692.49999999999989</v>
      </c>
      <c r="J37" s="168"/>
      <c r="K37" s="171">
        <f t="shared" si="3"/>
        <v>-3242.4</v>
      </c>
      <c r="L37" s="171">
        <f t="shared" si="4"/>
        <v>-65.400000000000006</v>
      </c>
      <c r="M37" s="171">
        <f t="shared" si="5"/>
        <v>-234.6</v>
      </c>
      <c r="N37" s="171">
        <f t="shared" si="1"/>
        <v>-3542.4</v>
      </c>
    </row>
    <row r="38" spans="1:14" ht="26.25" customHeight="1" thickBot="1">
      <c r="A38" s="164" t="s">
        <v>365</v>
      </c>
      <c r="B38" s="165">
        <v>33123.199999999997</v>
      </c>
      <c r="C38" s="165">
        <v>1287.0999999999999</v>
      </c>
      <c r="D38" s="165">
        <v>1601.7</v>
      </c>
      <c r="E38" s="166"/>
      <c r="F38" s="165">
        <f t="shared" si="9"/>
        <v>38224.199999999997</v>
      </c>
      <c r="G38" s="165">
        <f t="shared" si="7"/>
        <v>1840.6</v>
      </c>
      <c r="H38" s="165">
        <f t="shared" si="2"/>
        <v>2290.4</v>
      </c>
      <c r="I38" s="165">
        <f t="shared" si="0"/>
        <v>42355.199999999997</v>
      </c>
      <c r="J38" s="166"/>
      <c r="K38" s="165">
        <f t="shared" si="3"/>
        <v>195095.6</v>
      </c>
      <c r="L38" s="165">
        <f t="shared" si="4"/>
        <v>10528.5</v>
      </c>
      <c r="M38" s="165">
        <f t="shared" si="5"/>
        <v>11740.5</v>
      </c>
      <c r="N38" s="165">
        <f t="shared" si="1"/>
        <v>217364.6</v>
      </c>
    </row>
    <row r="39" spans="1:14" ht="22.95" customHeight="1">
      <c r="A39" s="52" t="s">
        <v>352</v>
      </c>
      <c r="B39" s="167">
        <v>468.8</v>
      </c>
      <c r="C39" s="176">
        <v>38.549999999999997</v>
      </c>
      <c r="D39" s="167">
        <v>57.5</v>
      </c>
      <c r="E39" s="168"/>
      <c r="F39" s="167">
        <f t="shared" si="9"/>
        <v>541</v>
      </c>
      <c r="G39" s="167">
        <f t="shared" si="7"/>
        <v>55.1</v>
      </c>
      <c r="H39" s="167">
        <f t="shared" si="2"/>
        <v>82.2</v>
      </c>
      <c r="I39" s="167">
        <f t="shared" si="0"/>
        <v>678.30000000000007</v>
      </c>
      <c r="J39" s="168"/>
      <c r="K39" s="167">
        <f t="shared" si="3"/>
        <v>2761.2</v>
      </c>
      <c r="L39" s="167">
        <f t="shared" si="4"/>
        <v>315.3</v>
      </c>
      <c r="M39" s="167">
        <f t="shared" si="5"/>
        <v>421.5</v>
      </c>
      <c r="N39" s="167">
        <f t="shared" si="1"/>
        <v>3498</v>
      </c>
    </row>
    <row r="40" spans="1:14" ht="47.25" customHeight="1">
      <c r="A40" s="52" t="s">
        <v>362</v>
      </c>
      <c r="B40" s="167">
        <v>-41.2</v>
      </c>
      <c r="C40" s="167">
        <v>-1.3</v>
      </c>
      <c r="D40" s="176">
        <v>-5.85</v>
      </c>
      <c r="E40" s="168"/>
      <c r="F40" s="167">
        <f t="shared" si="9"/>
        <v>-47.5</v>
      </c>
      <c r="G40" s="167">
        <f t="shared" si="7"/>
        <v>-1.9</v>
      </c>
      <c r="H40" s="167">
        <f>ROUNDDOWN(D40*1.43,1)</f>
        <v>-8.3000000000000007</v>
      </c>
      <c r="I40" s="167">
        <f t="shared" si="0"/>
        <v>-57.7</v>
      </c>
      <c r="J40" s="168"/>
      <c r="K40" s="167">
        <f>ROUNDDOWN(B40*5.89,1)</f>
        <v>-242.6</v>
      </c>
      <c r="L40" s="167">
        <f t="shared" si="4"/>
        <v>-10.6</v>
      </c>
      <c r="M40" s="167">
        <f>ROUNDDOWN(D40*7.33,1)</f>
        <v>-42.8</v>
      </c>
      <c r="N40" s="167">
        <f t="shared" si="1"/>
        <v>-296</v>
      </c>
    </row>
    <row r="41" spans="1:14" ht="27.75" customHeight="1">
      <c r="A41" s="52" t="s">
        <v>353</v>
      </c>
      <c r="B41" s="167">
        <v>1.6</v>
      </c>
      <c r="C41" s="176">
        <v>0.05</v>
      </c>
      <c r="D41" s="167">
        <v>2.5</v>
      </c>
      <c r="E41" s="167">
        <f>E43+E42</f>
        <v>0</v>
      </c>
      <c r="F41" s="167">
        <f t="shared" si="9"/>
        <v>1.8</v>
      </c>
      <c r="G41" s="167">
        <f t="shared" si="7"/>
        <v>0.1</v>
      </c>
      <c r="H41" s="167">
        <f t="shared" si="2"/>
        <v>3.6</v>
      </c>
      <c r="I41" s="167">
        <f t="shared" si="0"/>
        <v>5.5</v>
      </c>
      <c r="J41" s="168"/>
      <c r="K41" s="167">
        <f t="shared" si="3"/>
        <v>9.4</v>
      </c>
      <c r="L41" s="167">
        <f t="shared" si="4"/>
        <v>0.4</v>
      </c>
      <c r="M41" s="167">
        <f t="shared" si="5"/>
        <v>18.3</v>
      </c>
      <c r="N41" s="167">
        <f t="shared" si="1"/>
        <v>28.1</v>
      </c>
    </row>
    <row r="42" spans="1:14" ht="27" customHeight="1">
      <c r="A42" s="42" t="s">
        <v>354</v>
      </c>
      <c r="B42" s="167">
        <v>0</v>
      </c>
      <c r="C42" s="167">
        <v>0</v>
      </c>
      <c r="D42" s="167">
        <v>0</v>
      </c>
      <c r="E42" s="168"/>
      <c r="F42" s="167">
        <f t="shared" si="9"/>
        <v>0</v>
      </c>
      <c r="G42" s="167">
        <f t="shared" si="7"/>
        <v>0</v>
      </c>
      <c r="H42" s="167">
        <f t="shared" si="2"/>
        <v>0</v>
      </c>
      <c r="I42" s="167">
        <f t="shared" si="0"/>
        <v>0</v>
      </c>
      <c r="J42" s="168"/>
      <c r="K42" s="167">
        <f t="shared" si="3"/>
        <v>0</v>
      </c>
      <c r="L42" s="167">
        <f t="shared" si="4"/>
        <v>0</v>
      </c>
      <c r="M42" s="167">
        <f t="shared" si="5"/>
        <v>0</v>
      </c>
      <c r="N42" s="167">
        <f t="shared" si="1"/>
        <v>0</v>
      </c>
    </row>
    <row r="43" spans="1:14" ht="14.25" customHeight="1">
      <c r="A43" s="170" t="s">
        <v>355</v>
      </c>
      <c r="B43" s="167">
        <v>1.6</v>
      </c>
      <c r="C43" s="176">
        <v>0.05</v>
      </c>
      <c r="D43" s="167">
        <v>2.5</v>
      </c>
      <c r="E43" s="168"/>
      <c r="F43" s="167">
        <f t="shared" si="9"/>
        <v>1.8</v>
      </c>
      <c r="G43" s="167">
        <f t="shared" si="7"/>
        <v>0.1</v>
      </c>
      <c r="H43" s="167">
        <f t="shared" si="2"/>
        <v>3.6</v>
      </c>
      <c r="I43" s="167">
        <f t="shared" si="0"/>
        <v>5.5</v>
      </c>
      <c r="J43" s="168"/>
      <c r="K43" s="167">
        <f t="shared" si="3"/>
        <v>9.4</v>
      </c>
      <c r="L43" s="167">
        <f t="shared" si="4"/>
        <v>0.4</v>
      </c>
      <c r="M43" s="167">
        <f t="shared" si="5"/>
        <v>18.3</v>
      </c>
      <c r="N43" s="167">
        <f t="shared" si="1"/>
        <v>28.1</v>
      </c>
    </row>
    <row r="44" spans="1:14">
      <c r="A44" s="52" t="s">
        <v>356</v>
      </c>
      <c r="B44" s="167">
        <v>-10.4</v>
      </c>
      <c r="C44" s="167">
        <v>0</v>
      </c>
      <c r="D44" s="176">
        <v>-0.05</v>
      </c>
      <c r="E44" s="168"/>
      <c r="F44" s="167">
        <f t="shared" si="9"/>
        <v>-12</v>
      </c>
      <c r="G44" s="167">
        <f t="shared" si="7"/>
        <v>0</v>
      </c>
      <c r="H44" s="167">
        <f t="shared" si="2"/>
        <v>-0.1</v>
      </c>
      <c r="I44" s="167">
        <f t="shared" si="0"/>
        <v>-12.1</v>
      </c>
      <c r="J44" s="168"/>
      <c r="K44" s="167">
        <f>ROUNDDOWN(B44*5.89,1)</f>
        <v>-61.2</v>
      </c>
      <c r="L44" s="167">
        <f t="shared" si="4"/>
        <v>0</v>
      </c>
      <c r="M44" s="167">
        <f t="shared" si="5"/>
        <v>-0.4</v>
      </c>
      <c r="N44" s="167">
        <f t="shared" si="1"/>
        <v>-61.6</v>
      </c>
    </row>
    <row r="45" spans="1:14">
      <c r="A45" s="52" t="s">
        <v>357</v>
      </c>
      <c r="B45" s="167">
        <v>580.79999999999995</v>
      </c>
      <c r="C45" s="167">
        <v>65.099999999999994</v>
      </c>
      <c r="D45" s="167">
        <v>107.1</v>
      </c>
      <c r="E45" s="168"/>
      <c r="F45" s="167">
        <f t="shared" si="9"/>
        <v>670.2</v>
      </c>
      <c r="G45" s="167">
        <f t="shared" si="7"/>
        <v>93.1</v>
      </c>
      <c r="H45" s="167">
        <f t="shared" si="2"/>
        <v>153.19999999999999</v>
      </c>
      <c r="I45" s="167">
        <f t="shared" si="0"/>
        <v>916.5</v>
      </c>
      <c r="J45" s="168"/>
      <c r="K45" s="167">
        <f t="shared" si="3"/>
        <v>3420.9</v>
      </c>
      <c r="L45" s="167">
        <f t="shared" si="4"/>
        <v>532.5</v>
      </c>
      <c r="M45" s="167">
        <f t="shared" si="5"/>
        <v>785</v>
      </c>
      <c r="N45" s="167">
        <f t="shared" si="1"/>
        <v>4738.3999999999996</v>
      </c>
    </row>
    <row r="46" spans="1:14">
      <c r="A46" s="52" t="s">
        <v>358</v>
      </c>
      <c r="B46" s="167">
        <v>-0.6</v>
      </c>
      <c r="C46" s="167">
        <v>0</v>
      </c>
      <c r="D46" s="167">
        <v>0</v>
      </c>
      <c r="E46" s="168"/>
      <c r="F46" s="167">
        <f t="shared" si="9"/>
        <v>-0.7</v>
      </c>
      <c r="G46" s="167">
        <f t="shared" si="7"/>
        <v>0</v>
      </c>
      <c r="H46" s="167">
        <f t="shared" si="2"/>
        <v>0</v>
      </c>
      <c r="I46" s="167">
        <f t="shared" si="0"/>
        <v>-0.7</v>
      </c>
      <c r="J46" s="168"/>
      <c r="K46" s="167">
        <f t="shared" si="3"/>
        <v>-3.5</v>
      </c>
      <c r="L46" s="167">
        <f t="shared" si="4"/>
        <v>0</v>
      </c>
      <c r="M46" s="167">
        <f t="shared" si="5"/>
        <v>0</v>
      </c>
      <c r="N46" s="167">
        <f t="shared" si="1"/>
        <v>-3.5</v>
      </c>
    </row>
    <row r="47" spans="1:14">
      <c r="A47" s="52" t="s">
        <v>359</v>
      </c>
      <c r="B47" s="167">
        <v>-81.8</v>
      </c>
      <c r="C47" s="167">
        <v>-57.1</v>
      </c>
      <c r="D47" s="167">
        <v>53.6</v>
      </c>
      <c r="E47" s="168"/>
      <c r="F47" s="167">
        <f t="shared" si="9"/>
        <v>-94.4</v>
      </c>
      <c r="G47" s="167">
        <f t="shared" si="7"/>
        <v>-81.7</v>
      </c>
      <c r="H47" s="167">
        <f t="shared" si="2"/>
        <v>76.599999999999994</v>
      </c>
      <c r="I47" s="167">
        <f t="shared" si="0"/>
        <v>-99.500000000000028</v>
      </c>
      <c r="J47" s="168"/>
      <c r="K47" s="167">
        <f t="shared" si="3"/>
        <v>-481.8</v>
      </c>
      <c r="L47" s="167">
        <f t="shared" si="4"/>
        <v>-467.1</v>
      </c>
      <c r="M47" s="167">
        <f t="shared" si="5"/>
        <v>392.9</v>
      </c>
      <c r="N47" s="167">
        <f t="shared" si="1"/>
        <v>-556.00000000000011</v>
      </c>
    </row>
    <row r="48" spans="1:14" ht="27.75" customHeight="1" thickBot="1">
      <c r="A48" s="63" t="s">
        <v>360</v>
      </c>
      <c r="B48" s="171">
        <v>-462</v>
      </c>
      <c r="C48" s="171">
        <v>-7.3</v>
      </c>
      <c r="D48" s="171">
        <v>-31.5</v>
      </c>
      <c r="E48" s="168"/>
      <c r="F48" s="171">
        <f t="shared" si="9"/>
        <v>-533.1</v>
      </c>
      <c r="G48" s="171">
        <f t="shared" si="7"/>
        <v>-10.4</v>
      </c>
      <c r="H48" s="171">
        <f t="shared" si="2"/>
        <v>-45</v>
      </c>
      <c r="I48" s="171">
        <f t="shared" si="0"/>
        <v>-588.5</v>
      </c>
      <c r="J48" s="168"/>
      <c r="K48" s="171">
        <f t="shared" si="3"/>
        <v>-2721.2</v>
      </c>
      <c r="L48" s="171">
        <f t="shared" si="4"/>
        <v>-59.7</v>
      </c>
      <c r="M48" s="171">
        <f t="shared" si="5"/>
        <v>-230.9</v>
      </c>
      <c r="N48" s="171">
        <f t="shared" si="1"/>
        <v>-3011.7999999999997</v>
      </c>
    </row>
    <row r="49" spans="1:14" ht="27.75" customHeight="1" thickBot="1">
      <c r="A49" s="177" t="s">
        <v>366</v>
      </c>
      <c r="B49" s="178">
        <v>33578.400000000001</v>
      </c>
      <c r="C49" s="178">
        <v>1325.1</v>
      </c>
      <c r="D49" s="178">
        <v>1785</v>
      </c>
      <c r="E49" s="166"/>
      <c r="F49" s="178">
        <f t="shared" si="9"/>
        <v>38749.5</v>
      </c>
      <c r="G49" s="178">
        <f t="shared" si="7"/>
        <v>1894.9</v>
      </c>
      <c r="H49" s="178">
        <f>ROUND(D49*1.43,1)</f>
        <v>2552.6</v>
      </c>
      <c r="I49" s="178">
        <f t="shared" si="0"/>
        <v>43197</v>
      </c>
      <c r="J49" s="166"/>
      <c r="K49" s="178">
        <f t="shared" si="3"/>
        <v>197776.8</v>
      </c>
      <c r="L49" s="178">
        <f t="shared" si="4"/>
        <v>10839.3</v>
      </c>
      <c r="M49" s="178">
        <f t="shared" si="5"/>
        <v>13084.1</v>
      </c>
      <c r="N49" s="178">
        <f t="shared" si="1"/>
        <v>221700.19999999998</v>
      </c>
    </row>
    <row r="50" spans="1:14" ht="22.95" customHeight="1" thickTop="1">
      <c r="A50" s="52" t="s">
        <v>352</v>
      </c>
      <c r="B50" s="167">
        <v>547.70000000000005</v>
      </c>
      <c r="C50" s="167">
        <v>32.299999999999997</v>
      </c>
      <c r="D50" s="167">
        <v>83.2</v>
      </c>
      <c r="E50" s="168"/>
      <c r="F50" s="167">
        <f t="shared" si="9"/>
        <v>632</v>
      </c>
      <c r="G50" s="167">
        <f t="shared" si="7"/>
        <v>46.2</v>
      </c>
      <c r="H50" s="167">
        <f>ROUND(D50*1.43,1)</f>
        <v>119</v>
      </c>
      <c r="I50" s="167">
        <f t="shared" si="0"/>
        <v>797.2</v>
      </c>
      <c r="J50" s="168"/>
      <c r="K50" s="167">
        <f>ROUNDDOWN(B50*5.89,1)</f>
        <v>3225.9</v>
      </c>
      <c r="L50" s="167">
        <f t="shared" si="4"/>
        <v>264.2</v>
      </c>
      <c r="M50" s="167">
        <f t="shared" si="5"/>
        <v>609.9</v>
      </c>
      <c r="N50" s="167">
        <f t="shared" si="1"/>
        <v>4100</v>
      </c>
    </row>
    <row r="51" spans="1:14" ht="76.5" customHeight="1">
      <c r="A51" s="52" t="s">
        <v>367</v>
      </c>
      <c r="B51" s="167">
        <v>-50.9</v>
      </c>
      <c r="C51" s="167">
        <v>-0.4</v>
      </c>
      <c r="D51" s="167">
        <v>1.5</v>
      </c>
      <c r="E51" s="168"/>
      <c r="F51" s="167">
        <f t="shared" si="9"/>
        <v>-58.7</v>
      </c>
      <c r="G51" s="167">
        <f t="shared" si="7"/>
        <v>-0.6</v>
      </c>
      <c r="H51" s="167">
        <f t="shared" ref="H51:H59" si="10">ROUND(D51*1.43,1)</f>
        <v>2.1</v>
      </c>
      <c r="I51" s="167">
        <f t="shared" si="0"/>
        <v>-57.2</v>
      </c>
      <c r="J51" s="168"/>
      <c r="K51" s="167">
        <f t="shared" si="3"/>
        <v>-299.8</v>
      </c>
      <c r="L51" s="167">
        <f t="shared" si="4"/>
        <v>-3.3</v>
      </c>
      <c r="M51" s="167">
        <f t="shared" si="5"/>
        <v>11</v>
      </c>
      <c r="N51" s="167">
        <f t="shared" si="1"/>
        <v>-292.10000000000002</v>
      </c>
    </row>
    <row r="52" spans="1:14" ht="23.25" customHeight="1">
      <c r="A52" s="52" t="s">
        <v>353</v>
      </c>
      <c r="B52" s="167">
        <v>120</v>
      </c>
      <c r="C52" s="167">
        <v>4.4000000000000004</v>
      </c>
      <c r="D52" s="167">
        <v>0.6</v>
      </c>
      <c r="E52" s="167"/>
      <c r="F52" s="167">
        <f t="shared" si="9"/>
        <v>138.5</v>
      </c>
      <c r="G52" s="167">
        <f t="shared" si="7"/>
        <v>6.3</v>
      </c>
      <c r="H52" s="167">
        <f>ROUNDDOWN(D52*1.43,1)</f>
        <v>0.8</v>
      </c>
      <c r="I52" s="167">
        <f t="shared" si="0"/>
        <v>145.60000000000002</v>
      </c>
      <c r="J52" s="168"/>
      <c r="K52" s="167">
        <f t="shared" si="3"/>
        <v>706.8</v>
      </c>
      <c r="L52" s="167">
        <f t="shared" si="4"/>
        <v>36</v>
      </c>
      <c r="M52" s="167">
        <f t="shared" si="5"/>
        <v>4.4000000000000004</v>
      </c>
      <c r="N52" s="167">
        <f t="shared" si="1"/>
        <v>747.19999999999993</v>
      </c>
    </row>
    <row r="53" spans="1:14" ht="26.25" customHeight="1">
      <c r="A53" s="42" t="s">
        <v>354</v>
      </c>
      <c r="B53" s="167">
        <v>65.900000000000006</v>
      </c>
      <c r="C53" s="167">
        <v>3.7</v>
      </c>
      <c r="D53" s="167">
        <v>0.6</v>
      </c>
      <c r="E53" s="168"/>
      <c r="F53" s="167">
        <f>ROUNDUP(B53*1.154,1)</f>
        <v>76.099999999999994</v>
      </c>
      <c r="G53" s="167">
        <f t="shared" si="7"/>
        <v>5.3</v>
      </c>
      <c r="H53" s="167">
        <f>ROUNDDOWN(D53*1.43,1)</f>
        <v>0.8</v>
      </c>
      <c r="I53" s="167">
        <f t="shared" si="0"/>
        <v>82.199999999999989</v>
      </c>
      <c r="J53" s="168"/>
      <c r="K53" s="167">
        <f t="shared" si="3"/>
        <v>388.2</v>
      </c>
      <c r="L53" s="167">
        <f t="shared" si="4"/>
        <v>30.3</v>
      </c>
      <c r="M53" s="167">
        <f t="shared" si="5"/>
        <v>4.4000000000000004</v>
      </c>
      <c r="N53" s="167">
        <f t="shared" si="1"/>
        <v>422.9</v>
      </c>
    </row>
    <row r="54" spans="1:14" ht="36.75" customHeight="1">
      <c r="A54" s="42" t="s">
        <v>364</v>
      </c>
      <c r="B54" s="167">
        <v>54.1</v>
      </c>
      <c r="C54" s="167">
        <v>0.7</v>
      </c>
      <c r="D54" s="167">
        <v>0</v>
      </c>
      <c r="E54" s="168"/>
      <c r="F54" s="167">
        <f t="shared" si="9"/>
        <v>62.4</v>
      </c>
      <c r="G54" s="167">
        <f t="shared" si="7"/>
        <v>1</v>
      </c>
      <c r="H54" s="167">
        <f t="shared" si="10"/>
        <v>0</v>
      </c>
      <c r="I54" s="167">
        <f t="shared" si="0"/>
        <v>63.4</v>
      </c>
      <c r="J54" s="168"/>
      <c r="K54" s="167">
        <f t="shared" si="3"/>
        <v>318.60000000000002</v>
      </c>
      <c r="L54" s="167">
        <f t="shared" si="4"/>
        <v>5.7</v>
      </c>
      <c r="M54" s="167">
        <f t="shared" si="5"/>
        <v>0</v>
      </c>
      <c r="N54" s="167">
        <f t="shared" si="1"/>
        <v>324.3</v>
      </c>
    </row>
    <row r="55" spans="1:14">
      <c r="A55" s="52" t="s">
        <v>356</v>
      </c>
      <c r="B55" s="167">
        <v>-1.5</v>
      </c>
      <c r="C55" s="167">
        <v>0</v>
      </c>
      <c r="D55" s="176">
        <v>0</v>
      </c>
      <c r="E55" s="168"/>
      <c r="F55" s="167">
        <f t="shared" ref="F55:F60" si="11">ROUND(B55*1.154,1)</f>
        <v>-1.7</v>
      </c>
      <c r="G55" s="167">
        <f t="shared" si="7"/>
        <v>0</v>
      </c>
      <c r="H55" s="167">
        <f t="shared" si="10"/>
        <v>0</v>
      </c>
      <c r="I55" s="167">
        <f t="shared" si="0"/>
        <v>-1.7</v>
      </c>
      <c r="J55" s="168"/>
      <c r="K55" s="167">
        <f t="shared" si="3"/>
        <v>-8.8000000000000007</v>
      </c>
      <c r="L55" s="167">
        <f t="shared" si="4"/>
        <v>0</v>
      </c>
      <c r="M55" s="167">
        <f t="shared" si="5"/>
        <v>0</v>
      </c>
      <c r="N55" s="167">
        <f t="shared" si="1"/>
        <v>-8.8000000000000007</v>
      </c>
    </row>
    <row r="56" spans="1:14">
      <c r="A56" s="52" t="s">
        <v>357</v>
      </c>
      <c r="B56" s="167">
        <v>1.7</v>
      </c>
      <c r="C56" s="167">
        <v>0.3</v>
      </c>
      <c r="D56" s="167">
        <v>4.5999999999999996</v>
      </c>
      <c r="E56" s="168"/>
      <c r="F56" s="167">
        <f t="shared" si="11"/>
        <v>2</v>
      </c>
      <c r="G56" s="167">
        <f t="shared" si="7"/>
        <v>0.4</v>
      </c>
      <c r="H56" s="167">
        <f t="shared" si="10"/>
        <v>6.6</v>
      </c>
      <c r="I56" s="167">
        <f t="shared" si="0"/>
        <v>9</v>
      </c>
      <c r="J56" s="168"/>
      <c r="K56" s="167">
        <f t="shared" si="3"/>
        <v>10</v>
      </c>
      <c r="L56" s="167">
        <f t="shared" si="4"/>
        <v>2.5</v>
      </c>
      <c r="M56" s="167">
        <f t="shared" si="5"/>
        <v>33.700000000000003</v>
      </c>
      <c r="N56" s="167">
        <f t="shared" si="1"/>
        <v>46.2</v>
      </c>
    </row>
    <row r="57" spans="1:14">
      <c r="A57" s="52" t="s">
        <v>358</v>
      </c>
      <c r="B57" s="167">
        <v>-627.20000000000005</v>
      </c>
      <c r="C57" s="167">
        <v>-68.599999999999994</v>
      </c>
      <c r="D57" s="167">
        <v>-101.1</v>
      </c>
      <c r="E57" s="168"/>
      <c r="F57" s="167">
        <f t="shared" si="11"/>
        <v>-723.8</v>
      </c>
      <c r="G57" s="167">
        <f t="shared" si="7"/>
        <v>-98.1</v>
      </c>
      <c r="H57" s="167">
        <f t="shared" si="10"/>
        <v>-144.6</v>
      </c>
      <c r="I57" s="167">
        <f t="shared" si="0"/>
        <v>-966.5</v>
      </c>
      <c r="J57" s="168"/>
      <c r="K57" s="167">
        <f t="shared" si="3"/>
        <v>-3694.2</v>
      </c>
      <c r="L57" s="167">
        <f t="shared" si="4"/>
        <v>-561.1</v>
      </c>
      <c r="M57" s="167">
        <f t="shared" si="5"/>
        <v>-741.1</v>
      </c>
      <c r="N57" s="167">
        <f t="shared" si="1"/>
        <v>-4996.4000000000005</v>
      </c>
    </row>
    <row r="58" spans="1:14">
      <c r="A58" s="52" t="s">
        <v>359</v>
      </c>
      <c r="B58" s="167">
        <v>-7.6</v>
      </c>
      <c r="C58" s="167">
        <v>-0.2</v>
      </c>
      <c r="D58" s="167">
        <v>-8.9</v>
      </c>
      <c r="E58" s="168"/>
      <c r="F58" s="167">
        <f t="shared" si="11"/>
        <v>-8.8000000000000007</v>
      </c>
      <c r="G58" s="167">
        <f t="shared" si="7"/>
        <v>-0.3</v>
      </c>
      <c r="H58" s="167">
        <f t="shared" si="10"/>
        <v>-12.7</v>
      </c>
      <c r="I58" s="167">
        <f t="shared" si="0"/>
        <v>-21.8</v>
      </c>
      <c r="J58" s="168"/>
      <c r="K58" s="167">
        <f t="shared" si="3"/>
        <v>-44.8</v>
      </c>
      <c r="L58" s="167">
        <f t="shared" si="4"/>
        <v>-1.6</v>
      </c>
      <c r="M58" s="167">
        <f t="shared" si="5"/>
        <v>-65.2</v>
      </c>
      <c r="N58" s="167">
        <f t="shared" si="1"/>
        <v>-111.6</v>
      </c>
    </row>
    <row r="59" spans="1:14" ht="25.5" customHeight="1" thickBot="1">
      <c r="A59" s="63" t="s">
        <v>360</v>
      </c>
      <c r="B59" s="171">
        <v>-508.3</v>
      </c>
      <c r="C59" s="171">
        <v>-8.1</v>
      </c>
      <c r="D59" s="171">
        <v>-32</v>
      </c>
      <c r="E59" s="168"/>
      <c r="F59" s="171">
        <f t="shared" si="11"/>
        <v>-586.6</v>
      </c>
      <c r="G59" s="171">
        <f>ROUNDDOWN(C59*1.43,1)</f>
        <v>-11.5</v>
      </c>
      <c r="H59" s="171">
        <f t="shared" si="10"/>
        <v>-45.8</v>
      </c>
      <c r="I59" s="171">
        <f t="shared" si="0"/>
        <v>-643.9</v>
      </c>
      <c r="J59" s="168"/>
      <c r="K59" s="171">
        <f t="shared" si="3"/>
        <v>-2993.9</v>
      </c>
      <c r="L59" s="171">
        <f t="shared" si="4"/>
        <v>-66.3</v>
      </c>
      <c r="M59" s="171">
        <f t="shared" si="5"/>
        <v>-234.6</v>
      </c>
      <c r="N59" s="171">
        <f t="shared" si="1"/>
        <v>-3294.8</v>
      </c>
    </row>
    <row r="60" spans="1:14" ht="24.75" customHeight="1" thickBot="1">
      <c r="A60" s="177" t="s">
        <v>368</v>
      </c>
      <c r="B60" s="178">
        <v>33052.300000000003</v>
      </c>
      <c r="C60" s="178">
        <v>1284.8</v>
      </c>
      <c r="D60" s="178">
        <v>1732.9</v>
      </c>
      <c r="E60" s="166"/>
      <c r="F60" s="178">
        <f t="shared" si="11"/>
        <v>38142.400000000001</v>
      </c>
      <c r="G60" s="178">
        <f t="shared" si="7"/>
        <v>1837.3</v>
      </c>
      <c r="H60" s="178">
        <f>ROUND(D60*1.43,1)</f>
        <v>2478</v>
      </c>
      <c r="I60" s="178">
        <f>F60+G60+H60</f>
        <v>42457.700000000004</v>
      </c>
      <c r="J60" s="166"/>
      <c r="K60" s="178">
        <f t="shared" si="3"/>
        <v>194678</v>
      </c>
      <c r="L60" s="178">
        <f t="shared" si="4"/>
        <v>10509.7</v>
      </c>
      <c r="M60" s="178">
        <f t="shared" si="5"/>
        <v>12702.2</v>
      </c>
      <c r="N60" s="178">
        <f>K60+L60+M60</f>
        <v>217889.90000000002</v>
      </c>
    </row>
    <row r="61" spans="1:14" ht="13.8" thickTop="1">
      <c r="A61" s="31"/>
      <c r="B61" s="166"/>
      <c r="C61" s="166"/>
      <c r="D61" s="166"/>
      <c r="E61" s="166"/>
      <c r="F61" s="166"/>
      <c r="G61" s="166"/>
      <c r="H61" s="166"/>
      <c r="I61" s="166"/>
      <c r="J61" s="166"/>
      <c r="K61" s="166"/>
      <c r="L61" s="166"/>
      <c r="M61" s="166"/>
      <c r="N61" s="166"/>
    </row>
    <row r="62" spans="1:14" ht="24" customHeight="1">
      <c r="A62" s="528" t="s">
        <v>369</v>
      </c>
      <c r="B62" s="528"/>
      <c r="C62" s="528"/>
      <c r="D62" s="528"/>
      <c r="E62" s="528"/>
      <c r="F62" s="528"/>
      <c r="G62" s="528"/>
      <c r="H62" s="528"/>
      <c r="I62" s="528"/>
      <c r="J62" s="528"/>
      <c r="K62" s="528"/>
      <c r="L62" s="528"/>
      <c r="M62" s="528"/>
      <c r="N62" s="528"/>
    </row>
    <row r="63" spans="1:14" ht="33.75" customHeight="1">
      <c r="A63" s="548" t="s">
        <v>663</v>
      </c>
      <c r="B63" s="548"/>
      <c r="C63" s="548"/>
      <c r="D63" s="548"/>
      <c r="E63" s="548"/>
      <c r="F63" s="548"/>
      <c r="G63" s="548"/>
      <c r="H63" s="548"/>
      <c r="I63" s="548"/>
      <c r="J63" s="548"/>
      <c r="K63" s="548"/>
      <c r="L63" s="548"/>
      <c r="M63" s="548"/>
      <c r="N63" s="548"/>
    </row>
    <row r="64" spans="1:14" ht="13.2" customHeight="1">
      <c r="A64" s="528" t="s">
        <v>370</v>
      </c>
      <c r="B64" s="528"/>
      <c r="C64" s="528"/>
      <c r="D64" s="528"/>
      <c r="E64" s="528"/>
      <c r="F64" s="528"/>
      <c r="G64" s="528"/>
      <c r="H64" s="528"/>
      <c r="I64" s="528"/>
      <c r="J64" s="528"/>
      <c r="K64" s="528"/>
      <c r="L64" s="528"/>
      <c r="M64" s="528"/>
      <c r="N64" s="528"/>
    </row>
    <row r="65" spans="1:14">
      <c r="A65" s="49"/>
      <c r="B65" s="49"/>
      <c r="C65" s="49"/>
      <c r="D65" s="49"/>
      <c r="E65" s="49"/>
      <c r="F65" s="49"/>
      <c r="G65" s="49"/>
      <c r="H65" s="49"/>
      <c r="I65" s="49"/>
      <c r="J65" s="49"/>
      <c r="K65" s="49"/>
      <c r="L65" s="49"/>
      <c r="M65" s="49"/>
      <c r="N65" s="49"/>
    </row>
    <row r="66" spans="1:14">
      <c r="A66" s="530" t="s">
        <v>213</v>
      </c>
      <c r="B66" s="530"/>
      <c r="C66" s="530"/>
      <c r="D66" s="530"/>
      <c r="E66" s="530"/>
      <c r="F66" s="530"/>
      <c r="G66" s="530"/>
    </row>
  </sheetData>
  <sheetProtection password="CAF1" sheet="1" objects="1" scenarios="1" formatCells="0" formatColumns="0" formatRows="0" insertColumns="0" insertRows="0" insertHyperlinks="0" deleteColumns="0" deleteRows="0" sort="0" autoFilter="0" pivotTables="0"/>
  <mergeCells count="6">
    <mergeCell ref="A66:G66"/>
    <mergeCell ref="A64:N64"/>
    <mergeCell ref="F3:I3"/>
    <mergeCell ref="K3:N3"/>
    <mergeCell ref="A62:N62"/>
    <mergeCell ref="A63:N63"/>
  </mergeCells>
  <phoneticPr fontId="7" type="noConversion"/>
  <hyperlinks>
    <hyperlink ref="A66:G66"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rowBreaks count="1" manualBreakCount="1">
    <brk id="26" max="16383" man="1"/>
  </rowBreaks>
</worksheet>
</file>

<file path=xl/worksheets/sheet11.xml><?xml version="1.0" encoding="utf-8"?>
<worksheet xmlns="http://schemas.openxmlformats.org/spreadsheetml/2006/main" xmlns:r="http://schemas.openxmlformats.org/officeDocument/2006/relationships">
  <dimension ref="A1:AL143"/>
  <sheetViews>
    <sheetView zoomScaleNormal="100" zoomScaleSheetLayoutView="100" workbookViewId="0"/>
  </sheetViews>
  <sheetFormatPr defaultColWidth="0" defaultRowHeight="13.2" zeroHeight="1"/>
  <cols>
    <col min="1" max="1" width="37" customWidth="1"/>
    <col min="2" max="3" width="8" customWidth="1"/>
    <col min="4" max="4" width="9" customWidth="1"/>
    <col min="5" max="8" width="8" customWidth="1"/>
    <col min="9" max="9" width="6.88671875" customWidth="1"/>
    <col min="10" max="38" width="9.33203125" style="2" hidden="1" customWidth="1"/>
  </cols>
  <sheetData>
    <row r="1" spans="1:38" ht="15.6">
      <c r="A1" s="48" t="s">
        <v>371</v>
      </c>
      <c r="B1" s="28"/>
      <c r="C1" s="28"/>
      <c r="D1" s="28"/>
      <c r="E1" s="28"/>
      <c r="F1" s="28"/>
      <c r="G1" s="28"/>
      <c r="H1" s="28"/>
      <c r="I1" s="28"/>
    </row>
    <row r="2" spans="1:38" ht="25.5" customHeight="1">
      <c r="A2" s="566" t="s">
        <v>930</v>
      </c>
      <c r="B2" s="566"/>
      <c r="C2" s="566"/>
      <c r="D2" s="566"/>
      <c r="E2" s="566"/>
      <c r="F2" s="566"/>
      <c r="G2" s="566"/>
      <c r="H2" s="566"/>
      <c r="I2" s="566"/>
    </row>
    <row r="3" spans="1:38" ht="66" customHeight="1">
      <c r="A3" s="29" t="s">
        <v>372</v>
      </c>
      <c r="B3" s="180" t="s">
        <v>341</v>
      </c>
      <c r="C3" s="180" t="s">
        <v>342</v>
      </c>
      <c r="D3" s="180" t="s">
        <v>373</v>
      </c>
      <c r="E3" s="180" t="s">
        <v>344</v>
      </c>
      <c r="F3" s="180" t="s">
        <v>374</v>
      </c>
      <c r="G3" s="180" t="s">
        <v>346</v>
      </c>
      <c r="H3" s="180" t="s">
        <v>347</v>
      </c>
      <c r="I3" s="180" t="s">
        <v>282</v>
      </c>
      <c r="AL3"/>
    </row>
    <row r="4" spans="1:38" ht="19.5" customHeight="1">
      <c r="A4" s="152"/>
      <c r="B4" s="531" t="s">
        <v>375</v>
      </c>
      <c r="C4" s="531"/>
      <c r="D4" s="531"/>
      <c r="E4" s="531"/>
      <c r="F4" s="531"/>
      <c r="G4" s="531"/>
      <c r="H4" s="531"/>
      <c r="I4" s="531"/>
      <c r="AL4"/>
    </row>
    <row r="5" spans="1:38" ht="45.75" customHeight="1">
      <c r="A5" s="52" t="s">
        <v>376</v>
      </c>
      <c r="B5" s="181">
        <v>27</v>
      </c>
      <c r="C5" s="181">
        <v>0.3</v>
      </c>
      <c r="D5" s="181">
        <v>3.3</v>
      </c>
      <c r="E5" s="181">
        <v>0.6</v>
      </c>
      <c r="F5" s="181">
        <v>57.8</v>
      </c>
      <c r="G5" s="181">
        <v>0</v>
      </c>
      <c r="H5" s="181">
        <v>50.9</v>
      </c>
      <c r="I5" s="181">
        <f>SUM(B5:H5)</f>
        <v>139.9</v>
      </c>
      <c r="AL5"/>
    </row>
    <row r="6" spans="1:38" ht="28.2" customHeight="1">
      <c r="A6" s="52" t="s">
        <v>377</v>
      </c>
      <c r="B6" s="181">
        <v>68.599999999999994</v>
      </c>
      <c r="C6" s="181">
        <v>0.7</v>
      </c>
      <c r="D6" s="181">
        <v>8.5</v>
      </c>
      <c r="E6" s="181">
        <v>2.7</v>
      </c>
      <c r="F6" s="181">
        <v>6.7</v>
      </c>
      <c r="G6" s="181">
        <v>8.5</v>
      </c>
      <c r="H6" s="181">
        <v>10.4</v>
      </c>
      <c r="I6" s="181">
        <f>SUM(B6:H6)</f>
        <v>106.10000000000001</v>
      </c>
      <c r="AL6"/>
    </row>
    <row r="7" spans="1:38" ht="26.25" customHeight="1" thickBot="1">
      <c r="A7" s="52" t="s">
        <v>378</v>
      </c>
      <c r="B7" s="182">
        <v>25.5</v>
      </c>
      <c r="C7" s="182">
        <v>4.0999999999999996</v>
      </c>
      <c r="D7" s="182">
        <v>1.4</v>
      </c>
      <c r="E7" s="182">
        <v>5.2</v>
      </c>
      <c r="F7" s="182">
        <v>17.5</v>
      </c>
      <c r="G7" s="182">
        <v>0</v>
      </c>
      <c r="H7" s="182">
        <v>0</v>
      </c>
      <c r="I7" s="181">
        <f>SUM(B7:H7)</f>
        <v>53.7</v>
      </c>
      <c r="AL7"/>
    </row>
    <row r="8" spans="1:38" ht="13.8" thickTop="1">
      <c r="A8" s="568" t="s">
        <v>379</v>
      </c>
      <c r="B8" s="569"/>
      <c r="C8" s="569"/>
      <c r="D8" s="569"/>
      <c r="E8" s="569"/>
      <c r="F8" s="569"/>
      <c r="G8" s="569"/>
      <c r="H8" s="569"/>
      <c r="I8" s="569"/>
    </row>
    <row r="9" spans="1:38" ht="36.75" customHeight="1">
      <c r="A9" s="552" t="s">
        <v>380</v>
      </c>
      <c r="B9" s="552"/>
      <c r="C9" s="552"/>
      <c r="D9" s="552"/>
      <c r="E9" s="552"/>
      <c r="F9" s="552"/>
      <c r="G9" s="552"/>
      <c r="H9" s="552"/>
      <c r="I9" s="552"/>
    </row>
    <row r="10" spans="1:38" ht="73.5" customHeight="1">
      <c r="A10" s="29" t="s">
        <v>1116</v>
      </c>
      <c r="B10" s="184" t="s">
        <v>381</v>
      </c>
      <c r="C10" s="570" t="s">
        <v>382</v>
      </c>
      <c r="D10" s="570"/>
      <c r="E10" s="570"/>
      <c r="F10" s="184" t="s">
        <v>383</v>
      </c>
      <c r="G10" s="184" t="s">
        <v>384</v>
      </c>
      <c r="H10" s="184" t="s">
        <v>385</v>
      </c>
      <c r="I10" s="184" t="s">
        <v>386</v>
      </c>
    </row>
    <row r="11" spans="1:38" ht="13.2" customHeight="1">
      <c r="A11" s="553" t="s">
        <v>387</v>
      </c>
      <c r="B11" s="553"/>
      <c r="C11" s="553"/>
      <c r="D11" s="553"/>
      <c r="E11" s="553"/>
      <c r="F11" s="553"/>
      <c r="G11" s="553"/>
      <c r="H11" s="553"/>
      <c r="I11" s="553"/>
    </row>
    <row r="12" spans="1:38" ht="12.75" customHeight="1">
      <c r="A12" s="185" t="s">
        <v>388</v>
      </c>
      <c r="B12" s="186">
        <v>1978</v>
      </c>
      <c r="C12" s="549" t="s">
        <v>392</v>
      </c>
      <c r="D12" s="555"/>
      <c r="E12" s="555"/>
      <c r="F12" s="558">
        <v>1</v>
      </c>
      <c r="G12" s="188" t="s">
        <v>393</v>
      </c>
      <c r="H12" s="186" t="s">
        <v>395</v>
      </c>
      <c r="I12" s="186" t="s">
        <v>206</v>
      </c>
    </row>
    <row r="13" spans="1:38">
      <c r="A13" s="189" t="s">
        <v>389</v>
      </c>
      <c r="B13" s="188">
        <v>1985</v>
      </c>
      <c r="C13" s="556"/>
      <c r="D13" s="556"/>
      <c r="E13" s="556"/>
      <c r="F13" s="559"/>
      <c r="G13" s="188" t="s">
        <v>393</v>
      </c>
      <c r="H13" s="188" t="s">
        <v>395</v>
      </c>
      <c r="I13" s="188" t="s">
        <v>206</v>
      </c>
    </row>
    <row r="14" spans="1:38">
      <c r="A14" s="189" t="s">
        <v>390</v>
      </c>
      <c r="B14" s="188">
        <v>1987</v>
      </c>
      <c r="C14" s="556"/>
      <c r="D14" s="556"/>
      <c r="E14" s="556"/>
      <c r="F14" s="559"/>
      <c r="G14" s="188" t="s">
        <v>394</v>
      </c>
      <c r="H14" s="188" t="s">
        <v>395</v>
      </c>
      <c r="I14" s="188">
        <v>2013</v>
      </c>
    </row>
    <row r="15" spans="1:38">
      <c r="A15" s="191" t="s">
        <v>391</v>
      </c>
      <c r="B15" s="188">
        <v>2004</v>
      </c>
      <c r="C15" s="557"/>
      <c r="D15" s="557"/>
      <c r="E15" s="557"/>
      <c r="F15" s="559"/>
      <c r="G15" s="188" t="s">
        <v>393</v>
      </c>
      <c r="H15" s="188" t="s">
        <v>395</v>
      </c>
      <c r="I15" s="188">
        <v>2019</v>
      </c>
    </row>
    <row r="16" spans="1:38" ht="13.2" customHeight="1">
      <c r="A16" s="192" t="s">
        <v>397</v>
      </c>
      <c r="B16" s="186">
        <v>1991</v>
      </c>
      <c r="C16" s="549" t="s">
        <v>418</v>
      </c>
      <c r="D16" s="555"/>
      <c r="E16" s="555"/>
      <c r="F16" s="558">
        <v>1</v>
      </c>
      <c r="G16" s="186" t="s">
        <v>393</v>
      </c>
      <c r="H16" s="186" t="s">
        <v>395</v>
      </c>
      <c r="I16" s="186">
        <v>2018</v>
      </c>
    </row>
    <row r="17" spans="1:18">
      <c r="A17" s="189" t="s">
        <v>398</v>
      </c>
      <c r="B17" s="188">
        <v>2001</v>
      </c>
      <c r="C17" s="556"/>
      <c r="D17" s="556"/>
      <c r="E17" s="556"/>
      <c r="F17" s="559"/>
      <c r="G17" s="188" t="s">
        <v>393</v>
      </c>
      <c r="H17" s="188" t="s">
        <v>395</v>
      </c>
      <c r="I17" s="188">
        <v>2018</v>
      </c>
    </row>
    <row r="18" spans="1:18">
      <c r="A18" s="189" t="s">
        <v>399</v>
      </c>
      <c r="B18" s="188" t="s">
        <v>1100</v>
      </c>
      <c r="C18" s="556"/>
      <c r="D18" s="556"/>
      <c r="E18" s="556"/>
      <c r="F18" s="559"/>
      <c r="G18" s="188" t="s">
        <v>393</v>
      </c>
      <c r="H18" s="188" t="s">
        <v>396</v>
      </c>
      <c r="I18" s="188">
        <v>2025</v>
      </c>
    </row>
    <row r="19" spans="1:18">
      <c r="A19" s="189" t="s">
        <v>400</v>
      </c>
      <c r="B19" s="188" t="s">
        <v>1100</v>
      </c>
      <c r="C19" s="557"/>
      <c r="D19" s="557"/>
      <c r="E19" s="557"/>
      <c r="F19" s="559"/>
      <c r="G19" s="188" t="s">
        <v>394</v>
      </c>
      <c r="H19" s="188" t="s">
        <v>395</v>
      </c>
      <c r="I19" s="188">
        <v>2027</v>
      </c>
    </row>
    <row r="20" spans="1:18" ht="13.2" customHeight="1">
      <c r="A20" s="192" t="s">
        <v>401</v>
      </c>
      <c r="B20" s="186">
        <v>1972</v>
      </c>
      <c r="C20" s="549" t="s">
        <v>419</v>
      </c>
      <c r="D20" s="549"/>
      <c r="E20" s="549"/>
      <c r="F20" s="558">
        <v>1</v>
      </c>
      <c r="G20" s="186" t="s">
        <v>393</v>
      </c>
      <c r="H20" s="186" t="s">
        <v>395</v>
      </c>
      <c r="I20" s="186">
        <v>2018</v>
      </c>
    </row>
    <row r="21" spans="1:18">
      <c r="A21" s="189" t="s">
        <v>402</v>
      </c>
      <c r="B21" s="188">
        <v>1997</v>
      </c>
      <c r="C21" s="550"/>
      <c r="D21" s="550"/>
      <c r="E21" s="550"/>
      <c r="F21" s="559"/>
      <c r="G21" s="188" t="s">
        <v>421</v>
      </c>
      <c r="H21" s="188" t="s">
        <v>395</v>
      </c>
      <c r="I21" s="188">
        <v>2018</v>
      </c>
    </row>
    <row r="22" spans="1:18">
      <c r="A22" s="189" t="s">
        <v>403</v>
      </c>
      <c r="B22" s="188">
        <v>1992</v>
      </c>
      <c r="C22" s="550"/>
      <c r="D22" s="550"/>
      <c r="E22" s="550"/>
      <c r="F22" s="559"/>
      <c r="G22" s="188" t="s">
        <v>393</v>
      </c>
      <c r="H22" s="188" t="s">
        <v>395</v>
      </c>
      <c r="I22" s="188">
        <v>2018</v>
      </c>
    </row>
    <row r="23" spans="1:18">
      <c r="A23" s="193" t="s">
        <v>404</v>
      </c>
      <c r="B23" s="188" t="s">
        <v>1100</v>
      </c>
      <c r="C23" s="550"/>
      <c r="D23" s="550"/>
      <c r="E23" s="550"/>
      <c r="F23" s="559"/>
      <c r="G23" s="188" t="s">
        <v>421</v>
      </c>
      <c r="H23" s="188" t="s">
        <v>395</v>
      </c>
      <c r="I23" s="188">
        <v>2019</v>
      </c>
    </row>
    <row r="24" spans="1:18" ht="12.75" customHeight="1">
      <c r="A24" s="189" t="s">
        <v>405</v>
      </c>
      <c r="B24" s="188" t="s">
        <v>1100</v>
      </c>
      <c r="C24" s="550"/>
      <c r="D24" s="550"/>
      <c r="E24" s="550"/>
      <c r="F24" s="559"/>
      <c r="G24" s="188" t="s">
        <v>393</v>
      </c>
      <c r="H24" s="188" t="s">
        <v>395</v>
      </c>
      <c r="I24" s="188">
        <v>2018</v>
      </c>
    </row>
    <row r="25" spans="1:18">
      <c r="A25" s="189" t="s">
        <v>406</v>
      </c>
      <c r="B25" s="387" t="s">
        <v>1100</v>
      </c>
      <c r="C25" s="571"/>
      <c r="D25" s="571"/>
      <c r="E25" s="571"/>
      <c r="F25" s="572"/>
      <c r="G25" s="188" t="s">
        <v>393</v>
      </c>
      <c r="H25" s="188" t="s">
        <v>395</v>
      </c>
      <c r="I25" s="188">
        <v>2019</v>
      </c>
      <c r="J25" s="376"/>
      <c r="K25" s="376"/>
      <c r="L25" s="376"/>
      <c r="M25" s="376"/>
      <c r="N25" s="376"/>
      <c r="O25" s="376"/>
      <c r="P25" s="376"/>
      <c r="Q25" s="376"/>
      <c r="R25" s="376"/>
    </row>
    <row r="26" spans="1:18" ht="12.75" customHeight="1">
      <c r="A26" s="192" t="s">
        <v>407</v>
      </c>
      <c r="B26" s="186">
        <v>1993</v>
      </c>
      <c r="C26" s="549" t="s">
        <v>420</v>
      </c>
      <c r="D26" s="549"/>
      <c r="E26" s="549"/>
      <c r="F26" s="187">
        <v>1</v>
      </c>
      <c r="G26" s="194" t="s">
        <v>394</v>
      </c>
      <c r="H26" s="186" t="s">
        <v>395</v>
      </c>
      <c r="I26" s="186">
        <v>2012</v>
      </c>
    </row>
    <row r="27" spans="1:18">
      <c r="A27" s="189" t="s">
        <v>408</v>
      </c>
      <c r="B27" s="188">
        <v>2004</v>
      </c>
      <c r="C27" s="550"/>
      <c r="D27" s="550"/>
      <c r="E27" s="550"/>
      <c r="F27" s="190"/>
      <c r="G27" s="188" t="s">
        <v>394</v>
      </c>
      <c r="H27" s="188" t="s">
        <v>395</v>
      </c>
      <c r="I27" s="188">
        <v>2014</v>
      </c>
    </row>
    <row r="28" spans="1:18" ht="26.25" customHeight="1">
      <c r="A28" s="189" t="s">
        <v>409</v>
      </c>
      <c r="B28" s="188">
        <v>1996</v>
      </c>
      <c r="C28" s="551"/>
      <c r="D28" s="551"/>
      <c r="E28" s="551"/>
      <c r="F28" s="190"/>
      <c r="G28" s="195" t="s">
        <v>393</v>
      </c>
      <c r="H28" s="188" t="s">
        <v>396</v>
      </c>
      <c r="I28" s="188">
        <v>2018</v>
      </c>
    </row>
    <row r="29" spans="1:18" ht="31.5" customHeight="1">
      <c r="A29" s="192" t="s">
        <v>410</v>
      </c>
      <c r="B29" s="186">
        <v>2007</v>
      </c>
      <c r="C29" s="565" t="s">
        <v>422</v>
      </c>
      <c r="D29" s="565"/>
      <c r="E29" s="565"/>
      <c r="F29" s="186" t="s">
        <v>617</v>
      </c>
      <c r="G29" s="186" t="s">
        <v>1105</v>
      </c>
      <c r="H29" s="186" t="s">
        <v>395</v>
      </c>
      <c r="I29" s="186">
        <v>2043</v>
      </c>
    </row>
    <row r="30" spans="1:18" ht="13.2" customHeight="1">
      <c r="A30" s="185" t="s">
        <v>411</v>
      </c>
      <c r="B30" s="186" t="s">
        <v>1100</v>
      </c>
      <c r="C30" s="549" t="s">
        <v>423</v>
      </c>
      <c r="D30" s="549"/>
      <c r="E30" s="549"/>
      <c r="F30" s="186"/>
      <c r="G30" s="186" t="s">
        <v>1105</v>
      </c>
      <c r="H30" s="186" t="s">
        <v>395</v>
      </c>
      <c r="I30" s="186">
        <v>2028</v>
      </c>
    </row>
    <row r="31" spans="1:18">
      <c r="A31" s="189" t="s">
        <v>412</v>
      </c>
      <c r="B31" s="188" t="s">
        <v>1100</v>
      </c>
      <c r="C31" s="550"/>
      <c r="D31" s="550"/>
      <c r="E31" s="550"/>
      <c r="F31" s="188"/>
      <c r="G31" s="188" t="s">
        <v>1107</v>
      </c>
      <c r="H31" s="188" t="s">
        <v>395</v>
      </c>
      <c r="I31" s="188">
        <v>2028</v>
      </c>
    </row>
    <row r="32" spans="1:18">
      <c r="A32" s="189" t="s">
        <v>413</v>
      </c>
      <c r="B32" s="188" t="s">
        <v>1100</v>
      </c>
      <c r="C32" s="550"/>
      <c r="D32" s="550"/>
      <c r="E32" s="550"/>
      <c r="F32" s="188"/>
      <c r="G32" s="188" t="s">
        <v>1107</v>
      </c>
      <c r="H32" s="188" t="s">
        <v>395</v>
      </c>
      <c r="I32" s="188">
        <v>2028</v>
      </c>
    </row>
    <row r="33" spans="1:9">
      <c r="A33" s="189" t="s">
        <v>414</v>
      </c>
      <c r="B33" s="188" t="s">
        <v>1100</v>
      </c>
      <c r="C33" s="550"/>
      <c r="D33" s="550"/>
      <c r="E33" s="550"/>
      <c r="F33" s="188"/>
      <c r="G33" s="188" t="s">
        <v>1107</v>
      </c>
      <c r="H33" s="188" t="s">
        <v>395</v>
      </c>
      <c r="I33" s="188">
        <v>2028</v>
      </c>
    </row>
    <row r="34" spans="1:9">
      <c r="A34" s="189" t="s">
        <v>415</v>
      </c>
      <c r="B34" s="188" t="s">
        <v>1100</v>
      </c>
      <c r="C34" s="550"/>
      <c r="D34" s="550"/>
      <c r="E34" s="550"/>
      <c r="F34" s="188"/>
      <c r="G34" s="188" t="s">
        <v>1107</v>
      </c>
      <c r="H34" s="188" t="s">
        <v>395</v>
      </c>
      <c r="I34" s="188">
        <v>2028</v>
      </c>
    </row>
    <row r="35" spans="1:9" ht="13.8" thickBot="1">
      <c r="A35" s="191" t="s">
        <v>416</v>
      </c>
      <c r="B35" s="195" t="s">
        <v>1100</v>
      </c>
      <c r="C35" s="551"/>
      <c r="D35" s="551"/>
      <c r="E35" s="551"/>
      <c r="F35" s="195"/>
      <c r="G35" s="195" t="s">
        <v>1106</v>
      </c>
      <c r="H35" s="195" t="s">
        <v>395</v>
      </c>
      <c r="I35" s="195">
        <v>2028</v>
      </c>
    </row>
    <row r="36" spans="1:9" ht="23.25" customHeight="1" thickTop="1">
      <c r="A36" s="196" t="s">
        <v>417</v>
      </c>
      <c r="B36" s="197">
        <v>1998</v>
      </c>
      <c r="C36" s="554" t="s">
        <v>330</v>
      </c>
      <c r="D36" s="554"/>
      <c r="E36" s="554"/>
      <c r="F36" s="197" t="s">
        <v>1109</v>
      </c>
      <c r="G36" s="197" t="s">
        <v>1105</v>
      </c>
      <c r="H36" s="197" t="s">
        <v>395</v>
      </c>
      <c r="I36" s="197">
        <v>2014</v>
      </c>
    </row>
    <row r="37" spans="1:9" ht="13.2" customHeight="1">
      <c r="A37" s="185" t="s">
        <v>425</v>
      </c>
      <c r="B37" s="186">
        <v>1995</v>
      </c>
      <c r="C37" s="549" t="s">
        <v>424</v>
      </c>
      <c r="D37" s="549"/>
      <c r="E37" s="549"/>
      <c r="F37" s="558">
        <v>1</v>
      </c>
      <c r="G37" s="186" t="s">
        <v>430</v>
      </c>
      <c r="H37" s="186" t="s">
        <v>395</v>
      </c>
      <c r="I37" s="186">
        <v>2050</v>
      </c>
    </row>
    <row r="38" spans="1:9">
      <c r="A38" s="189" t="s">
        <v>426</v>
      </c>
      <c r="B38" s="188">
        <v>1982</v>
      </c>
      <c r="C38" s="550"/>
      <c r="D38" s="550"/>
      <c r="E38" s="550"/>
      <c r="F38" s="559"/>
      <c r="G38" s="188" t="s">
        <v>393</v>
      </c>
      <c r="H38" s="188" t="s">
        <v>395</v>
      </c>
      <c r="I38" s="188">
        <v>2038</v>
      </c>
    </row>
    <row r="39" spans="1:9">
      <c r="A39" s="191" t="s">
        <v>427</v>
      </c>
      <c r="B39" s="188">
        <v>1996</v>
      </c>
      <c r="C39" s="551"/>
      <c r="D39" s="551"/>
      <c r="E39" s="551"/>
      <c r="F39" s="559"/>
      <c r="G39" s="188" t="s">
        <v>430</v>
      </c>
      <c r="H39" s="188" t="s">
        <v>395</v>
      </c>
      <c r="I39" s="188">
        <v>2047</v>
      </c>
    </row>
    <row r="40" spans="1:9" ht="12.75" customHeight="1">
      <c r="A40" s="198" t="s">
        <v>428</v>
      </c>
      <c r="B40" s="186">
        <v>1999</v>
      </c>
      <c r="C40" s="549" t="s">
        <v>431</v>
      </c>
      <c r="D40" s="549"/>
      <c r="E40" s="549"/>
      <c r="F40" s="187">
        <v>1</v>
      </c>
      <c r="G40" s="186" t="s">
        <v>430</v>
      </c>
      <c r="H40" s="186" t="s">
        <v>395</v>
      </c>
      <c r="I40" s="186">
        <v>2038</v>
      </c>
    </row>
    <row r="41" spans="1:9" ht="13.8" thickBot="1">
      <c r="A41" s="199" t="s">
        <v>429</v>
      </c>
      <c r="B41" s="200">
        <v>1982</v>
      </c>
      <c r="C41" s="573" t="s">
        <v>432</v>
      </c>
      <c r="D41" s="573"/>
      <c r="E41" s="573"/>
      <c r="F41" s="201">
        <v>1</v>
      </c>
      <c r="G41" s="200" t="s">
        <v>393</v>
      </c>
      <c r="H41" s="200" t="s">
        <v>395</v>
      </c>
      <c r="I41" s="200">
        <v>2014</v>
      </c>
    </row>
    <row r="42" spans="1:9" ht="13.95" customHeight="1" thickTop="1">
      <c r="A42" s="560" t="s">
        <v>433</v>
      </c>
      <c r="B42" s="560"/>
      <c r="C42" s="560"/>
      <c r="D42" s="560"/>
      <c r="E42" s="560"/>
      <c r="F42" s="560"/>
      <c r="G42" s="560"/>
      <c r="H42" s="560"/>
      <c r="I42" s="560"/>
    </row>
    <row r="43" spans="1:9" ht="22.5" customHeight="1">
      <c r="A43" s="202" t="s">
        <v>434</v>
      </c>
      <c r="B43" s="203">
        <v>1986</v>
      </c>
      <c r="C43" s="567" t="s">
        <v>436</v>
      </c>
      <c r="D43" s="567"/>
      <c r="E43" s="567"/>
      <c r="F43" s="204">
        <v>1</v>
      </c>
      <c r="G43" s="203" t="s">
        <v>421</v>
      </c>
      <c r="H43" s="203" t="s">
        <v>395</v>
      </c>
      <c r="I43" s="203">
        <v>2019</v>
      </c>
    </row>
    <row r="44" spans="1:9" ht="13.95" customHeight="1" thickBot="1">
      <c r="A44" s="205" t="s">
        <v>435</v>
      </c>
      <c r="B44" s="206" t="s">
        <v>1100</v>
      </c>
      <c r="C44" s="561" t="s">
        <v>423</v>
      </c>
      <c r="D44" s="561"/>
      <c r="E44" s="561"/>
      <c r="F44" s="207"/>
      <c r="G44" s="203" t="s">
        <v>421</v>
      </c>
      <c r="H44" s="206" t="s">
        <v>396</v>
      </c>
      <c r="I44" s="206">
        <v>2024</v>
      </c>
    </row>
    <row r="45" spans="1:9" ht="13.95" customHeight="1" thickTop="1">
      <c r="A45" s="560" t="s">
        <v>437</v>
      </c>
      <c r="B45" s="560"/>
      <c r="C45" s="560"/>
      <c r="D45" s="560"/>
      <c r="E45" s="560"/>
      <c r="F45" s="560"/>
      <c r="G45" s="560"/>
      <c r="H45" s="560"/>
      <c r="I45" s="560"/>
    </row>
    <row r="46" spans="1:9" ht="25.5" customHeight="1" thickBot="1">
      <c r="A46" s="199" t="s">
        <v>438</v>
      </c>
      <c r="B46" s="200">
        <v>1974</v>
      </c>
      <c r="C46" s="561" t="s">
        <v>439</v>
      </c>
      <c r="D46" s="561"/>
      <c r="E46" s="561"/>
      <c r="F46" s="208">
        <v>1</v>
      </c>
      <c r="G46" s="200" t="s">
        <v>393</v>
      </c>
      <c r="H46" s="200" t="s">
        <v>395</v>
      </c>
      <c r="I46" s="200">
        <v>2018</v>
      </c>
    </row>
    <row r="47" spans="1:9" ht="13.95" customHeight="1" thickTop="1">
      <c r="A47" s="560" t="s">
        <v>440</v>
      </c>
      <c r="B47" s="560"/>
      <c r="C47" s="560"/>
      <c r="D47" s="560"/>
      <c r="E47" s="560"/>
      <c r="F47" s="560"/>
      <c r="G47" s="560"/>
      <c r="H47" s="560"/>
      <c r="I47" s="560"/>
    </row>
    <row r="48" spans="1:9" ht="13.2" customHeight="1">
      <c r="A48" s="192" t="s">
        <v>441</v>
      </c>
      <c r="B48" s="186" t="s">
        <v>1100</v>
      </c>
      <c r="C48" s="562" t="s">
        <v>423</v>
      </c>
      <c r="D48" s="562"/>
      <c r="E48" s="562"/>
      <c r="F48" s="186"/>
      <c r="G48" s="186" t="s">
        <v>393</v>
      </c>
      <c r="H48" s="186" t="s">
        <v>395</v>
      </c>
      <c r="I48" s="186">
        <v>2028</v>
      </c>
    </row>
    <row r="49" spans="1:9">
      <c r="A49" s="209" t="s">
        <v>442</v>
      </c>
      <c r="B49" s="150" t="s">
        <v>1100</v>
      </c>
      <c r="C49" s="563"/>
      <c r="D49" s="563"/>
      <c r="E49" s="563"/>
      <c r="F49" s="150"/>
      <c r="G49" s="150" t="s">
        <v>421</v>
      </c>
      <c r="H49" s="150" t="s">
        <v>395</v>
      </c>
      <c r="I49" s="150">
        <v>2028</v>
      </c>
    </row>
    <row r="50" spans="1:9" ht="15.6" customHeight="1" thickBot="1">
      <c r="A50" s="205" t="s">
        <v>443</v>
      </c>
      <c r="B50" s="206" t="s">
        <v>1100</v>
      </c>
      <c r="C50" s="561" t="s">
        <v>444</v>
      </c>
      <c r="D50" s="561"/>
      <c r="E50" s="561"/>
      <c r="F50" s="210">
        <v>1</v>
      </c>
      <c r="G50" s="206" t="s">
        <v>393</v>
      </c>
      <c r="H50" s="206" t="s">
        <v>396</v>
      </c>
      <c r="I50" s="206">
        <v>2028</v>
      </c>
    </row>
    <row r="51" spans="1:9" ht="13.8" thickTop="1">
      <c r="A51" s="211" t="s">
        <v>445</v>
      </c>
      <c r="B51" s="211"/>
      <c r="C51" s="211"/>
      <c r="D51" s="211"/>
      <c r="E51" s="211"/>
      <c r="F51" s="211"/>
      <c r="G51" s="211"/>
      <c r="H51" s="28"/>
      <c r="I51" s="212"/>
    </row>
    <row r="52" spans="1:9" ht="13.2" customHeight="1">
      <c r="A52" s="192" t="s">
        <v>446</v>
      </c>
      <c r="B52" s="186" t="s">
        <v>1100</v>
      </c>
      <c r="C52" s="562" t="s">
        <v>453</v>
      </c>
      <c r="D52" s="562"/>
      <c r="E52" s="562"/>
      <c r="F52" s="187">
        <v>1</v>
      </c>
      <c r="G52" s="186" t="s">
        <v>421</v>
      </c>
      <c r="H52" s="186" t="s">
        <v>395</v>
      </c>
      <c r="I52" s="186">
        <v>2043</v>
      </c>
    </row>
    <row r="53" spans="1:9">
      <c r="A53" s="209" t="s">
        <v>447</v>
      </c>
      <c r="B53" s="150" t="s">
        <v>1100</v>
      </c>
      <c r="C53" s="563"/>
      <c r="D53" s="563"/>
      <c r="E53" s="563"/>
      <c r="F53" s="213"/>
      <c r="G53" s="150" t="s">
        <v>430</v>
      </c>
      <c r="H53" s="150" t="s">
        <v>395</v>
      </c>
      <c r="I53" s="150">
        <v>2043</v>
      </c>
    </row>
    <row r="54" spans="1:9" ht="13.2" customHeight="1">
      <c r="A54" s="198" t="s">
        <v>448</v>
      </c>
      <c r="B54" s="212" t="s">
        <v>1100</v>
      </c>
      <c r="C54" s="562" t="s">
        <v>454</v>
      </c>
      <c r="D54" s="562"/>
      <c r="E54" s="562"/>
      <c r="F54" s="214"/>
      <c r="G54" s="212" t="s">
        <v>394</v>
      </c>
      <c r="H54" s="212" t="s">
        <v>395</v>
      </c>
      <c r="I54" s="212">
        <v>2026</v>
      </c>
    </row>
    <row r="55" spans="1:9" ht="24.75" customHeight="1">
      <c r="A55" s="198" t="s">
        <v>449</v>
      </c>
      <c r="B55" s="212" t="s">
        <v>1100</v>
      </c>
      <c r="C55" s="550"/>
      <c r="D55" s="550"/>
      <c r="E55" s="550"/>
      <c r="F55" s="214"/>
      <c r="G55" s="212" t="s">
        <v>421</v>
      </c>
      <c r="H55" s="212" t="s">
        <v>395</v>
      </c>
      <c r="I55" s="212">
        <v>2026</v>
      </c>
    </row>
    <row r="56" spans="1:9">
      <c r="A56" s="198" t="s">
        <v>450</v>
      </c>
      <c r="B56" s="212" t="s">
        <v>1100</v>
      </c>
      <c r="C56" s="550"/>
      <c r="D56" s="550"/>
      <c r="E56" s="550"/>
      <c r="F56" s="214"/>
      <c r="G56" s="212" t="s">
        <v>430</v>
      </c>
      <c r="H56" s="212" t="s">
        <v>395</v>
      </c>
      <c r="I56" s="212">
        <v>2025</v>
      </c>
    </row>
    <row r="57" spans="1:9">
      <c r="A57" s="198" t="s">
        <v>451</v>
      </c>
      <c r="B57" s="212" t="s">
        <v>1100</v>
      </c>
      <c r="C57" s="550"/>
      <c r="D57" s="550"/>
      <c r="E57" s="550"/>
      <c r="F57" s="214"/>
      <c r="G57" s="212" t="s">
        <v>394</v>
      </c>
      <c r="H57" s="212" t="s">
        <v>395</v>
      </c>
      <c r="I57" s="212">
        <v>2028</v>
      </c>
    </row>
    <row r="58" spans="1:9" ht="13.8" thickBot="1">
      <c r="A58" s="205" t="s">
        <v>452</v>
      </c>
      <c r="B58" s="206" t="s">
        <v>1100</v>
      </c>
      <c r="C58" s="564"/>
      <c r="D58" s="564"/>
      <c r="E58" s="564"/>
      <c r="F58" s="207"/>
      <c r="G58" s="206" t="s">
        <v>421</v>
      </c>
      <c r="H58" s="206" t="s">
        <v>395</v>
      </c>
      <c r="I58" s="206">
        <v>2028</v>
      </c>
    </row>
    <row r="59" spans="1:9" ht="30" customHeight="1" thickTop="1">
      <c r="A59" s="528" t="s">
        <v>1117</v>
      </c>
      <c r="B59" s="528"/>
      <c r="C59" s="528"/>
      <c r="D59" s="528"/>
      <c r="E59" s="528"/>
      <c r="F59" s="528"/>
      <c r="G59" s="528"/>
      <c r="H59" s="528"/>
      <c r="I59" s="528"/>
    </row>
    <row r="60" spans="1:9" ht="54.75" customHeight="1">
      <c r="A60" s="528" t="s">
        <v>455</v>
      </c>
      <c r="B60" s="528"/>
      <c r="C60" s="528"/>
      <c r="D60" s="528"/>
      <c r="E60" s="528"/>
      <c r="F60" s="528"/>
      <c r="G60" s="528"/>
      <c r="H60" s="528"/>
      <c r="I60" s="528"/>
    </row>
    <row r="61" spans="1:9" ht="54.75" customHeight="1">
      <c r="A61" s="528" t="s">
        <v>0</v>
      </c>
      <c r="B61" s="528"/>
      <c r="C61" s="528"/>
      <c r="D61" s="528"/>
      <c r="E61" s="528"/>
      <c r="F61" s="528"/>
      <c r="G61" s="528"/>
      <c r="H61" s="528"/>
      <c r="I61" s="528"/>
    </row>
    <row r="62" spans="1:9" ht="27" customHeight="1">
      <c r="A62" s="528" t="s">
        <v>664</v>
      </c>
      <c r="B62" s="528"/>
      <c r="C62" s="528"/>
      <c r="D62" s="528"/>
      <c r="E62" s="528"/>
      <c r="F62" s="528"/>
      <c r="G62" s="528"/>
      <c r="H62" s="528"/>
      <c r="I62" s="528"/>
    </row>
    <row r="63" spans="1:9" ht="14.25" customHeight="1">
      <c r="A63" s="528" t="s">
        <v>665</v>
      </c>
      <c r="B63" s="528"/>
      <c r="C63" s="528"/>
      <c r="D63" s="528"/>
      <c r="E63" s="528"/>
      <c r="F63" s="528"/>
      <c r="G63" s="528"/>
      <c r="H63" s="528"/>
      <c r="I63" s="528"/>
    </row>
    <row r="64" spans="1:9" ht="13.5" customHeight="1">
      <c r="A64" s="28"/>
      <c r="B64" s="28"/>
      <c r="C64" s="28"/>
      <c r="D64" s="28"/>
      <c r="E64" s="28"/>
      <c r="F64" s="28"/>
      <c r="G64" s="28"/>
      <c r="H64" s="28"/>
      <c r="I64" s="28"/>
    </row>
    <row r="65" spans="1:9">
      <c r="A65" s="530" t="s">
        <v>213</v>
      </c>
      <c r="B65" s="530"/>
      <c r="C65" s="530"/>
      <c r="D65" s="530"/>
      <c r="E65" s="530"/>
      <c r="F65" s="530"/>
      <c r="G65" s="530"/>
      <c r="H65" s="2"/>
      <c r="I65" s="2"/>
    </row>
    <row r="66" spans="1:9" hidden="1">
      <c r="A66" s="2"/>
      <c r="B66" s="2"/>
      <c r="C66" s="2"/>
      <c r="D66" s="2"/>
      <c r="E66" s="2"/>
      <c r="F66" s="2"/>
      <c r="G66" s="2"/>
      <c r="H66" s="2"/>
      <c r="I66" s="2"/>
    </row>
    <row r="67" spans="1:9" hidden="1">
      <c r="A67" s="2"/>
      <c r="B67" s="2"/>
      <c r="C67" s="2"/>
      <c r="D67" s="2"/>
      <c r="E67" s="2"/>
      <c r="F67" s="2"/>
      <c r="G67" s="2"/>
      <c r="H67" s="2"/>
      <c r="I67" s="2"/>
    </row>
    <row r="68" spans="1:9" hidden="1">
      <c r="A68" s="2"/>
      <c r="B68" s="2"/>
      <c r="C68" s="2"/>
      <c r="D68" s="2"/>
      <c r="E68" s="2"/>
      <c r="F68" s="2"/>
      <c r="G68" s="2"/>
      <c r="H68" s="2"/>
      <c r="I68" s="2"/>
    </row>
    <row r="69" spans="1:9" hidden="1">
      <c r="A69" s="2"/>
      <c r="B69" s="2"/>
      <c r="C69" s="2"/>
      <c r="D69" s="2"/>
      <c r="E69" s="2"/>
      <c r="F69" s="2"/>
      <c r="G69" s="2"/>
      <c r="H69" s="2"/>
      <c r="I69" s="2"/>
    </row>
    <row r="70" spans="1:9" hidden="1">
      <c r="A70" s="2"/>
      <c r="B70" s="2"/>
      <c r="C70" s="2"/>
      <c r="D70" s="2"/>
      <c r="E70" s="2"/>
      <c r="F70" s="2"/>
      <c r="G70" s="2"/>
      <c r="H70" s="2"/>
      <c r="I70" s="2"/>
    </row>
    <row r="71" spans="1:9" hidden="1">
      <c r="A71" s="2"/>
      <c r="B71" s="2"/>
      <c r="C71" s="2"/>
      <c r="D71" s="2"/>
      <c r="E71" s="2"/>
      <c r="F71" s="2"/>
      <c r="G71" s="2"/>
      <c r="H71" s="2"/>
      <c r="I71" s="2"/>
    </row>
    <row r="72" spans="1:9" hidden="1">
      <c r="A72" s="2"/>
      <c r="B72" s="2"/>
      <c r="C72" s="2"/>
      <c r="D72" s="2"/>
      <c r="E72" s="2"/>
      <c r="F72" s="2"/>
      <c r="G72" s="2"/>
      <c r="H72" s="2"/>
      <c r="I72" s="2"/>
    </row>
    <row r="73" spans="1:9" hidden="1">
      <c r="A73" s="2"/>
      <c r="B73" s="2"/>
      <c r="C73" s="2"/>
      <c r="D73" s="2"/>
      <c r="E73" s="2"/>
      <c r="F73" s="2"/>
      <c r="G73" s="2"/>
      <c r="H73" s="2"/>
      <c r="I73" s="2"/>
    </row>
    <row r="74" spans="1:9" hidden="1">
      <c r="A74" s="2"/>
      <c r="B74" s="2"/>
      <c r="C74" s="2"/>
      <c r="D74" s="2"/>
      <c r="E74" s="2"/>
      <c r="F74" s="2"/>
      <c r="G74" s="2"/>
      <c r="H74" s="2"/>
      <c r="I74" s="2"/>
    </row>
    <row r="75" spans="1:9" hidden="1">
      <c r="A75" s="2"/>
      <c r="B75" s="2"/>
      <c r="C75" s="2"/>
      <c r="D75" s="2"/>
      <c r="E75" s="2"/>
      <c r="F75" s="2"/>
      <c r="G75" s="2"/>
      <c r="H75" s="2"/>
      <c r="I75" s="2"/>
    </row>
    <row r="76" spans="1:9" hidden="1">
      <c r="A76" s="2"/>
      <c r="B76" s="2"/>
      <c r="C76" s="2"/>
      <c r="D76" s="2"/>
      <c r="E76" s="2"/>
      <c r="F76" s="2"/>
      <c r="G76" s="2"/>
      <c r="H76" s="2"/>
      <c r="I76" s="2"/>
    </row>
    <row r="77" spans="1:9" hidden="1">
      <c r="A77" s="2"/>
      <c r="B77" s="2"/>
      <c r="C77" s="2"/>
      <c r="D77" s="2"/>
      <c r="E77" s="2"/>
      <c r="F77" s="2"/>
      <c r="G77" s="2"/>
      <c r="H77" s="2"/>
      <c r="I77" s="2"/>
    </row>
    <row r="78" spans="1:9" hidden="1">
      <c r="A78" s="2"/>
      <c r="B78" s="2"/>
      <c r="C78" s="2"/>
      <c r="D78" s="2"/>
      <c r="E78" s="2"/>
      <c r="F78" s="2"/>
      <c r="G78" s="2"/>
      <c r="H78" s="2"/>
      <c r="I78" s="2"/>
    </row>
    <row r="79" spans="1:9" hidden="1">
      <c r="A79" s="2"/>
      <c r="B79" s="2"/>
      <c r="C79" s="2"/>
      <c r="D79" s="2"/>
      <c r="E79" s="2"/>
      <c r="F79" s="2"/>
      <c r="G79" s="2"/>
      <c r="H79" s="2"/>
      <c r="I79" s="2"/>
    </row>
    <row r="80" spans="1:9" hidden="1">
      <c r="A80" s="2"/>
      <c r="B80" s="2"/>
      <c r="C80" s="2"/>
      <c r="D80" s="2"/>
      <c r="E80" s="2"/>
      <c r="F80" s="2"/>
      <c r="G80" s="2"/>
      <c r="H80" s="2"/>
      <c r="I80" s="2"/>
    </row>
    <row r="81" spans="1:9" hidden="1">
      <c r="A81" s="2"/>
      <c r="B81" s="2"/>
      <c r="C81" s="2"/>
      <c r="D81" s="2"/>
      <c r="E81" s="2"/>
      <c r="F81" s="2"/>
      <c r="G81" s="2"/>
      <c r="H81" s="2"/>
      <c r="I81" s="2"/>
    </row>
    <row r="82" spans="1:9" hidden="1">
      <c r="A82" s="2"/>
      <c r="B82" s="2"/>
      <c r="C82" s="2"/>
      <c r="D82" s="2"/>
      <c r="E82" s="2"/>
      <c r="F82" s="2"/>
      <c r="G82" s="2"/>
      <c r="H82" s="2"/>
      <c r="I82" s="2"/>
    </row>
    <row r="83" spans="1:9" hidden="1">
      <c r="A83" s="2"/>
      <c r="B83" s="2"/>
      <c r="C83" s="2"/>
      <c r="D83" s="2"/>
      <c r="E83" s="2"/>
      <c r="F83" s="2"/>
      <c r="G83" s="2"/>
      <c r="H83" s="2"/>
      <c r="I83" s="2"/>
    </row>
    <row r="84" spans="1:9" hidden="1">
      <c r="A84" s="2"/>
      <c r="B84" s="2"/>
      <c r="C84" s="2"/>
      <c r="D84" s="2"/>
      <c r="E84" s="2"/>
      <c r="F84" s="2"/>
      <c r="G84" s="2"/>
      <c r="H84" s="2"/>
      <c r="I84" s="2"/>
    </row>
    <row r="85" spans="1:9" hidden="1">
      <c r="A85" s="2"/>
      <c r="B85" s="2"/>
      <c r="C85" s="2"/>
      <c r="D85" s="2"/>
      <c r="E85" s="2"/>
      <c r="F85" s="2"/>
      <c r="G85" s="2"/>
      <c r="H85" s="2"/>
      <c r="I85" s="2"/>
    </row>
    <row r="86" spans="1:9" hidden="1">
      <c r="A86" s="2"/>
      <c r="B86" s="2"/>
      <c r="C86" s="2"/>
      <c r="D86" s="2"/>
      <c r="E86" s="2"/>
      <c r="F86" s="2"/>
      <c r="G86" s="2"/>
      <c r="H86" s="2"/>
      <c r="I86" s="2"/>
    </row>
    <row r="87" spans="1:9" hidden="1">
      <c r="A87" s="2"/>
      <c r="B87" s="2"/>
      <c r="C87" s="2"/>
      <c r="D87" s="2"/>
      <c r="E87" s="2"/>
      <c r="F87" s="2"/>
      <c r="G87" s="2"/>
      <c r="H87" s="2"/>
      <c r="I87" s="2"/>
    </row>
    <row r="88" spans="1:9" hidden="1">
      <c r="A88" s="2"/>
      <c r="B88" s="2"/>
      <c r="C88" s="2"/>
      <c r="D88" s="2"/>
      <c r="E88" s="2"/>
      <c r="F88" s="2"/>
      <c r="G88" s="2"/>
      <c r="H88" s="2"/>
      <c r="I88" s="2"/>
    </row>
    <row r="89" spans="1:9" hidden="1">
      <c r="A89" s="2"/>
      <c r="B89" s="2"/>
      <c r="C89" s="2"/>
      <c r="D89" s="2"/>
      <c r="E89" s="2"/>
      <c r="F89" s="2"/>
      <c r="G89" s="2"/>
      <c r="H89" s="2"/>
      <c r="I89" s="2"/>
    </row>
    <row r="90" spans="1:9" hidden="1">
      <c r="A90" s="2"/>
      <c r="B90" s="2"/>
      <c r="C90" s="2"/>
      <c r="D90" s="2"/>
      <c r="E90" s="2"/>
      <c r="F90" s="2"/>
      <c r="G90" s="2"/>
      <c r="H90" s="2"/>
      <c r="I90" s="2"/>
    </row>
    <row r="91" spans="1:9" hidden="1">
      <c r="A91" s="2"/>
      <c r="B91" s="2"/>
      <c r="C91" s="2"/>
      <c r="D91" s="2"/>
      <c r="E91" s="2"/>
      <c r="F91" s="2"/>
      <c r="G91" s="2"/>
      <c r="H91" s="2"/>
      <c r="I91" s="2"/>
    </row>
    <row r="92" spans="1:9" hidden="1">
      <c r="A92" s="2"/>
      <c r="B92" s="2"/>
      <c r="C92" s="2"/>
      <c r="D92" s="2"/>
      <c r="E92" s="2"/>
      <c r="F92" s="2"/>
      <c r="G92" s="2"/>
      <c r="H92" s="2"/>
      <c r="I92" s="2"/>
    </row>
    <row r="93" spans="1:9" hidden="1">
      <c r="A93" s="2"/>
      <c r="B93" s="2"/>
      <c r="C93" s="2"/>
      <c r="D93" s="2"/>
      <c r="E93" s="2"/>
      <c r="F93" s="2"/>
      <c r="G93" s="2"/>
      <c r="H93" s="2"/>
      <c r="I93" s="2"/>
    </row>
    <row r="94" spans="1:9" hidden="1">
      <c r="A94" s="2"/>
      <c r="B94" s="2"/>
      <c r="C94" s="2"/>
      <c r="D94" s="2"/>
      <c r="E94" s="2"/>
      <c r="F94" s="2"/>
      <c r="G94" s="2"/>
      <c r="H94" s="2"/>
      <c r="I94" s="2"/>
    </row>
    <row r="95" spans="1:9" hidden="1">
      <c r="A95" s="2"/>
      <c r="B95" s="2"/>
      <c r="C95" s="2"/>
      <c r="D95" s="2"/>
      <c r="E95" s="2"/>
      <c r="F95" s="2"/>
      <c r="G95" s="2"/>
      <c r="H95" s="2"/>
      <c r="I95" s="2"/>
    </row>
    <row r="96" spans="1:9" hidden="1">
      <c r="A96" s="2"/>
      <c r="B96" s="2"/>
      <c r="C96" s="2"/>
      <c r="D96" s="2"/>
      <c r="E96" s="2"/>
      <c r="F96" s="2"/>
      <c r="G96" s="2"/>
      <c r="H96" s="2"/>
      <c r="I96" s="2"/>
    </row>
    <row r="97" s="2" customFormat="1" hidden="1"/>
    <row r="98" s="2" customFormat="1" hidden="1"/>
    <row r="99" s="2" customFormat="1" hidden="1"/>
    <row r="100" s="2" customFormat="1" hidden="1"/>
    <row r="101" s="2" customFormat="1" hidden="1"/>
    <row r="102" s="2" customFormat="1" hidden="1"/>
    <row r="103" s="2" customFormat="1" hidden="1"/>
    <row r="104" s="2" customFormat="1" hidden="1"/>
    <row r="105" s="2" customFormat="1" hidden="1"/>
    <row r="106" s="2" customFormat="1" hidden="1"/>
    <row r="107" s="2" customFormat="1" hidden="1"/>
    <row r="108" s="2" customFormat="1" hidden="1"/>
    <row r="109" s="2" customFormat="1" hidden="1"/>
    <row r="110" s="2" customFormat="1" hidden="1"/>
    <row r="111" s="2" customFormat="1" hidden="1"/>
    <row r="112"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sheetData>
  <sheetProtection password="CAF1" sheet="1" formatCells="0" formatColumns="0" formatRows="0" insertColumns="0" insertRows="0" insertHyperlinks="0" deleteColumns="0" deleteRows="0" sort="0" autoFilter="0" pivotTables="0"/>
  <mergeCells count="36">
    <mergeCell ref="A2:I2"/>
    <mergeCell ref="A45:I45"/>
    <mergeCell ref="C50:E50"/>
    <mergeCell ref="C48:E49"/>
    <mergeCell ref="A47:I47"/>
    <mergeCell ref="C40:E40"/>
    <mergeCell ref="C43:E43"/>
    <mergeCell ref="C46:E46"/>
    <mergeCell ref="B4:I4"/>
    <mergeCell ref="C30:E35"/>
    <mergeCell ref="A8:I8"/>
    <mergeCell ref="C10:E10"/>
    <mergeCell ref="C20:E25"/>
    <mergeCell ref="F20:F25"/>
    <mergeCell ref="F16:F19"/>
    <mergeCell ref="C41:E41"/>
    <mergeCell ref="C37:E39"/>
    <mergeCell ref="A65:G65"/>
    <mergeCell ref="A63:I63"/>
    <mergeCell ref="A42:I42"/>
    <mergeCell ref="A59:I59"/>
    <mergeCell ref="C44:E44"/>
    <mergeCell ref="A62:I62"/>
    <mergeCell ref="A60:I60"/>
    <mergeCell ref="A61:I61"/>
    <mergeCell ref="C52:E53"/>
    <mergeCell ref="C54:E58"/>
    <mergeCell ref="F37:F39"/>
    <mergeCell ref="C26:E28"/>
    <mergeCell ref="A9:I9"/>
    <mergeCell ref="A11:I11"/>
    <mergeCell ref="C36:E36"/>
    <mergeCell ref="C12:E15"/>
    <mergeCell ref="F12:F15"/>
    <mergeCell ref="C29:E29"/>
    <mergeCell ref="C16:E19"/>
  </mergeCells>
  <phoneticPr fontId="24" type="noConversion"/>
  <hyperlinks>
    <hyperlink ref="A65:G65"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2" manualBreakCount="2">
    <brk id="25" max="8" man="1"/>
    <brk id="41" max="8" man="1"/>
  </rowBreaks>
</worksheet>
</file>

<file path=xl/worksheets/sheet12.xml><?xml version="1.0" encoding="utf-8"?>
<worksheet xmlns="http://schemas.openxmlformats.org/spreadsheetml/2006/main" xmlns:r="http://schemas.openxmlformats.org/officeDocument/2006/relationships">
  <dimension ref="A1:R37"/>
  <sheetViews>
    <sheetView zoomScaleNormal="100" zoomScaleSheetLayoutView="100" workbookViewId="0"/>
  </sheetViews>
  <sheetFormatPr defaultColWidth="0" defaultRowHeight="13.2" zeroHeight="1"/>
  <cols>
    <col min="1" max="1" width="27.6640625" style="2" customWidth="1"/>
    <col min="2" max="6" width="7.5546875" style="2" customWidth="1"/>
    <col min="7" max="7" width="1.33203125" style="4" customWidth="1"/>
    <col min="8" max="12" width="7.5546875" style="2" customWidth="1"/>
    <col min="13" max="13" width="1.33203125" style="4" customWidth="1"/>
    <col min="14" max="18" width="7.5546875" style="2" customWidth="1"/>
    <col min="19" max="16384" width="0" style="2" hidden="1"/>
  </cols>
  <sheetData>
    <row r="1" spans="1:18" ht="15.6">
      <c r="A1" s="48" t="s">
        <v>666</v>
      </c>
      <c r="B1" s="215"/>
      <c r="C1" s="215"/>
      <c r="D1" s="215"/>
      <c r="E1" s="215"/>
      <c r="F1" s="215"/>
      <c r="G1" s="215"/>
      <c r="H1" s="215"/>
      <c r="I1" s="215"/>
      <c r="J1" s="49"/>
      <c r="K1" s="49"/>
      <c r="L1" s="49"/>
      <c r="M1" s="49"/>
      <c r="N1" s="49"/>
      <c r="O1" s="49"/>
      <c r="P1" s="49"/>
      <c r="Q1" s="49"/>
      <c r="R1" s="49"/>
    </row>
    <row r="2" spans="1:18" ht="15.6">
      <c r="A2" s="163"/>
      <c r="B2" s="574"/>
      <c r="C2" s="574"/>
      <c r="D2" s="574"/>
      <c r="E2" s="574"/>
      <c r="F2" s="216"/>
      <c r="G2" s="216"/>
      <c r="H2" s="574"/>
      <c r="I2" s="574"/>
      <c r="J2" s="574"/>
      <c r="K2" s="574"/>
      <c r="L2" s="216"/>
      <c r="M2" s="216"/>
      <c r="N2" s="574"/>
      <c r="O2" s="574"/>
      <c r="P2" s="574"/>
      <c r="Q2" s="574"/>
      <c r="R2" s="216"/>
    </row>
    <row r="3" spans="1:18">
      <c r="A3" s="216"/>
      <c r="B3" s="216"/>
      <c r="C3" s="216"/>
      <c r="D3" s="216"/>
      <c r="E3" s="216"/>
      <c r="F3" s="216"/>
      <c r="G3" s="216"/>
      <c r="H3" s="216"/>
      <c r="I3" s="216"/>
      <c r="J3" s="216"/>
      <c r="K3" s="216"/>
      <c r="L3" s="216"/>
      <c r="M3" s="216"/>
      <c r="N3" s="216"/>
      <c r="O3" s="216"/>
      <c r="P3" s="216"/>
      <c r="Q3" s="216"/>
      <c r="R3" s="216"/>
    </row>
    <row r="4" spans="1:18">
      <c r="A4" s="216"/>
      <c r="B4" s="574"/>
      <c r="C4" s="574"/>
      <c r="D4" s="574"/>
      <c r="E4" s="574"/>
      <c r="F4" s="216"/>
      <c r="G4" s="216"/>
      <c r="H4" s="574"/>
      <c r="I4" s="574"/>
      <c r="J4" s="574"/>
      <c r="K4" s="574"/>
      <c r="L4" s="216"/>
      <c r="M4" s="216"/>
      <c r="N4" s="574"/>
      <c r="O4" s="574"/>
      <c r="P4" s="574"/>
      <c r="Q4" s="574"/>
      <c r="R4" s="216"/>
    </row>
    <row r="5" spans="1:18">
      <c r="A5" s="40"/>
      <c r="B5" s="217"/>
      <c r="C5" s="217"/>
      <c r="D5" s="217"/>
      <c r="E5" s="217"/>
      <c r="F5" s="217"/>
      <c r="G5" s="217"/>
      <c r="H5" s="217"/>
      <c r="I5" s="217"/>
      <c r="J5" s="217"/>
      <c r="K5" s="217"/>
      <c r="L5" s="217"/>
      <c r="M5" s="217"/>
      <c r="N5" s="217"/>
      <c r="O5" s="217"/>
      <c r="P5" s="217"/>
      <c r="Q5" s="217"/>
      <c r="R5" s="217"/>
    </row>
    <row r="6" spans="1:18">
      <c r="A6" s="31"/>
      <c r="B6" s="577"/>
      <c r="C6" s="577"/>
      <c r="D6" s="577"/>
      <c r="E6" s="577"/>
      <c r="F6" s="218"/>
      <c r="G6" s="218"/>
      <c r="H6" s="577"/>
      <c r="I6" s="577"/>
      <c r="J6" s="577"/>
      <c r="K6" s="577"/>
      <c r="L6" s="218"/>
      <c r="M6" s="218"/>
      <c r="N6" s="577"/>
      <c r="O6" s="577"/>
      <c r="P6" s="577"/>
      <c r="Q6" s="577"/>
      <c r="R6" s="218"/>
    </row>
    <row r="7" spans="1:18">
      <c r="A7" s="40"/>
      <c r="B7" s="217"/>
      <c r="C7" s="217"/>
      <c r="D7" s="217"/>
      <c r="E7" s="217"/>
      <c r="F7" s="217"/>
      <c r="G7" s="217"/>
      <c r="H7" s="217"/>
      <c r="I7" s="217"/>
      <c r="J7" s="217"/>
      <c r="K7" s="217"/>
      <c r="L7" s="217"/>
      <c r="M7" s="217"/>
      <c r="N7" s="217"/>
      <c r="O7" s="217"/>
      <c r="P7" s="217"/>
      <c r="Q7" s="217"/>
      <c r="R7" s="217"/>
    </row>
    <row r="8" spans="1:18">
      <c r="A8" s="31"/>
      <c r="B8" s="577"/>
      <c r="C8" s="577"/>
      <c r="D8" s="577"/>
      <c r="E8" s="577"/>
      <c r="F8" s="218"/>
      <c r="G8" s="218"/>
      <c r="H8" s="577"/>
      <c r="I8" s="577"/>
      <c r="J8" s="577"/>
      <c r="K8" s="577"/>
      <c r="L8" s="218"/>
      <c r="M8" s="218"/>
      <c r="N8" s="577"/>
      <c r="O8" s="577"/>
      <c r="P8" s="577"/>
      <c r="Q8" s="577"/>
      <c r="R8" s="218"/>
    </row>
    <row r="9" spans="1:18">
      <c r="A9" s="31"/>
      <c r="B9" s="218"/>
      <c r="C9" s="218"/>
      <c r="D9" s="218"/>
      <c r="E9" s="218"/>
      <c r="F9" s="218"/>
      <c r="G9" s="218"/>
      <c r="H9" s="218"/>
      <c r="I9" s="218"/>
      <c r="J9" s="218"/>
      <c r="K9" s="218"/>
      <c r="L9" s="218"/>
      <c r="M9" s="218"/>
      <c r="N9" s="218"/>
      <c r="O9" s="218"/>
      <c r="P9" s="218"/>
      <c r="Q9" s="218"/>
      <c r="R9" s="218"/>
    </row>
    <row r="10" spans="1:18">
      <c r="A10" s="31"/>
      <c r="B10" s="218"/>
      <c r="C10" s="218"/>
      <c r="D10" s="218"/>
      <c r="E10" s="218"/>
      <c r="F10" s="218"/>
      <c r="G10" s="218"/>
      <c r="H10" s="218"/>
      <c r="I10" s="218"/>
      <c r="J10" s="218"/>
      <c r="K10" s="218"/>
      <c r="L10" s="218"/>
      <c r="M10" s="218"/>
      <c r="N10" s="218"/>
      <c r="O10" s="218"/>
      <c r="P10" s="218"/>
      <c r="Q10" s="218"/>
      <c r="R10" s="218"/>
    </row>
    <row r="11" spans="1:18">
      <c r="A11" s="31"/>
      <c r="B11" s="218"/>
      <c r="C11" s="218"/>
      <c r="D11" s="218"/>
      <c r="E11" s="218"/>
      <c r="F11" s="218"/>
      <c r="G11" s="218"/>
      <c r="H11" s="218"/>
      <c r="I11" s="218"/>
      <c r="J11" s="218"/>
      <c r="K11" s="218"/>
      <c r="L11" s="218"/>
      <c r="M11" s="218"/>
      <c r="N11" s="218"/>
      <c r="O11" s="218"/>
      <c r="P11" s="218"/>
      <c r="Q11" s="218"/>
      <c r="R11" s="218"/>
    </row>
    <row r="12" spans="1:18">
      <c r="A12" s="31"/>
      <c r="B12" s="218"/>
      <c r="C12" s="218"/>
      <c r="D12" s="218"/>
      <c r="E12" s="218"/>
      <c r="F12" s="218"/>
      <c r="G12" s="218"/>
      <c r="H12" s="218"/>
      <c r="I12" s="218"/>
      <c r="J12" s="218"/>
      <c r="K12" s="218"/>
      <c r="L12" s="218"/>
      <c r="M12" s="218"/>
      <c r="N12" s="218"/>
      <c r="O12" s="218"/>
      <c r="P12" s="218"/>
      <c r="Q12" s="218"/>
      <c r="R12" s="218"/>
    </row>
    <row r="13" spans="1:18">
      <c r="A13" s="31"/>
      <c r="B13" s="218"/>
      <c r="C13" s="218"/>
      <c r="D13" s="218"/>
      <c r="E13" s="218"/>
      <c r="F13" s="218"/>
      <c r="G13" s="218"/>
      <c r="H13" s="218"/>
      <c r="I13" s="218"/>
      <c r="J13" s="218"/>
      <c r="K13" s="218"/>
      <c r="L13" s="218"/>
      <c r="M13" s="218"/>
      <c r="N13" s="218"/>
      <c r="O13" s="218"/>
      <c r="P13" s="218"/>
      <c r="Q13" s="218"/>
      <c r="R13" s="218"/>
    </row>
    <row r="14" spans="1:18">
      <c r="A14" s="31"/>
      <c r="B14" s="218"/>
      <c r="C14" s="218"/>
      <c r="D14" s="218"/>
      <c r="E14" s="218"/>
      <c r="F14" s="218"/>
      <c r="G14" s="218"/>
      <c r="H14" s="218"/>
      <c r="I14" s="218"/>
      <c r="J14" s="218"/>
      <c r="K14" s="218"/>
      <c r="L14" s="218"/>
      <c r="M14" s="218"/>
      <c r="N14" s="218"/>
      <c r="O14" s="218"/>
      <c r="P14" s="218"/>
      <c r="Q14" s="218"/>
      <c r="R14" s="218"/>
    </row>
    <row r="15" spans="1:18">
      <c r="A15" s="31"/>
      <c r="B15" s="218"/>
      <c r="C15" s="218"/>
      <c r="D15" s="218"/>
      <c r="E15" s="218"/>
      <c r="F15" s="218"/>
      <c r="G15" s="218"/>
      <c r="H15" s="218"/>
      <c r="I15" s="218"/>
      <c r="J15" s="218"/>
      <c r="K15" s="218"/>
      <c r="L15" s="218"/>
      <c r="M15" s="218"/>
      <c r="N15" s="218"/>
      <c r="O15" s="218"/>
      <c r="P15" s="218"/>
      <c r="Q15" s="218"/>
      <c r="R15" s="218"/>
    </row>
    <row r="16" spans="1:18">
      <c r="A16" s="31"/>
      <c r="B16" s="218"/>
      <c r="C16" s="218"/>
      <c r="D16" s="218"/>
      <c r="E16" s="218"/>
      <c r="F16" s="218"/>
      <c r="G16" s="218"/>
      <c r="H16" s="218"/>
      <c r="I16" s="218"/>
      <c r="J16" s="218"/>
      <c r="K16" s="218"/>
      <c r="L16" s="218"/>
      <c r="M16" s="218"/>
      <c r="N16" s="218"/>
      <c r="O16" s="218"/>
      <c r="P16" s="218"/>
      <c r="Q16" s="218"/>
      <c r="R16" s="218"/>
    </row>
    <row r="17" spans="1:18">
      <c r="A17" s="31"/>
      <c r="B17" s="218"/>
      <c r="C17" s="218"/>
      <c r="D17" s="218"/>
      <c r="E17" s="218"/>
      <c r="F17" s="218"/>
      <c r="G17" s="218"/>
      <c r="H17" s="218"/>
      <c r="I17" s="218"/>
      <c r="J17" s="218"/>
      <c r="K17" s="218"/>
      <c r="L17" s="218"/>
      <c r="M17" s="218"/>
      <c r="N17" s="218"/>
      <c r="O17" s="218"/>
      <c r="P17" s="218"/>
      <c r="Q17" s="218"/>
      <c r="R17" s="218"/>
    </row>
    <row r="18" spans="1:18">
      <c r="A18" s="40"/>
      <c r="B18" s="217"/>
      <c r="C18" s="217"/>
      <c r="D18" s="217"/>
      <c r="E18" s="217"/>
      <c r="F18" s="217"/>
      <c r="G18" s="217"/>
      <c r="H18" s="217"/>
      <c r="I18" s="217"/>
      <c r="J18" s="217"/>
      <c r="K18" s="217"/>
      <c r="L18" s="217"/>
      <c r="M18" s="217"/>
      <c r="N18" s="217"/>
      <c r="O18" s="217"/>
      <c r="P18" s="217"/>
      <c r="Q18" s="217"/>
      <c r="R18" s="217"/>
    </row>
    <row r="19" spans="1:18">
      <c r="A19" s="40"/>
      <c r="B19" s="219"/>
      <c r="C19" s="219"/>
      <c r="D19" s="219"/>
      <c r="E19" s="219"/>
      <c r="F19" s="219"/>
      <c r="G19" s="219"/>
      <c r="H19" s="577"/>
      <c r="I19" s="577"/>
      <c r="J19" s="577"/>
      <c r="K19" s="577"/>
      <c r="L19" s="218"/>
      <c r="M19" s="219"/>
      <c r="N19" s="577"/>
      <c r="O19" s="577"/>
      <c r="P19" s="577"/>
      <c r="Q19" s="577"/>
      <c r="R19" s="218"/>
    </row>
    <row r="20" spans="1:18">
      <c r="A20" s="31"/>
      <c r="B20" s="220"/>
      <c r="C20" s="220"/>
      <c r="D20" s="220"/>
      <c r="E20" s="220"/>
      <c r="F20" s="220"/>
      <c r="G20" s="220"/>
      <c r="H20" s="220"/>
      <c r="I20" s="220"/>
      <c r="J20" s="220"/>
      <c r="K20" s="220"/>
      <c r="L20" s="220"/>
      <c r="M20" s="220"/>
      <c r="N20" s="220"/>
      <c r="O20" s="220"/>
      <c r="P20" s="220"/>
      <c r="Q20" s="220"/>
      <c r="R20" s="220"/>
    </row>
    <row r="21" spans="1:18">
      <c r="A21" s="28"/>
      <c r="B21" s="28"/>
      <c r="C21" s="28"/>
      <c r="D21" s="28"/>
      <c r="E21" s="28"/>
      <c r="F21" s="28"/>
      <c r="G21" s="49"/>
      <c r="H21" s="28"/>
      <c r="I21" s="28"/>
      <c r="J21" s="28"/>
      <c r="K21" s="28"/>
      <c r="L21" s="28"/>
      <c r="M21" s="49"/>
      <c r="N21" s="28"/>
      <c r="O21" s="28"/>
      <c r="P21" s="28"/>
      <c r="Q21" s="28"/>
      <c r="R21" s="28"/>
    </row>
    <row r="22" spans="1:18">
      <c r="A22" s="28"/>
      <c r="B22" s="28"/>
      <c r="C22" s="28"/>
      <c r="D22" s="28"/>
      <c r="E22" s="28"/>
      <c r="F22" s="28"/>
      <c r="G22" s="49"/>
      <c r="H22" s="28"/>
      <c r="I22" s="28"/>
      <c r="J22" s="28"/>
      <c r="K22" s="28"/>
      <c r="L22" s="28"/>
      <c r="M22" s="49"/>
      <c r="N22" s="28"/>
      <c r="O22" s="28"/>
      <c r="P22" s="28"/>
      <c r="Q22" s="28"/>
      <c r="R22" s="28"/>
    </row>
    <row r="23" spans="1:18">
      <c r="A23" s="28"/>
      <c r="B23" s="28"/>
      <c r="C23" s="28"/>
      <c r="D23" s="28"/>
      <c r="E23" s="28"/>
      <c r="F23" s="28"/>
      <c r="G23" s="49"/>
      <c r="H23" s="28"/>
      <c r="I23" s="28"/>
      <c r="J23" s="28"/>
      <c r="K23" s="28"/>
      <c r="L23" s="28"/>
      <c r="M23" s="49"/>
      <c r="N23" s="28"/>
      <c r="O23" s="28"/>
      <c r="P23" s="28"/>
      <c r="Q23" s="28"/>
      <c r="R23" s="28"/>
    </row>
    <row r="24" spans="1:18">
      <c r="A24" s="28"/>
      <c r="B24" s="28"/>
      <c r="C24" s="28"/>
      <c r="D24" s="28"/>
      <c r="E24" s="28"/>
      <c r="F24" s="28"/>
      <c r="G24" s="49"/>
      <c r="H24" s="28"/>
      <c r="I24" s="28"/>
      <c r="J24" s="28"/>
      <c r="K24" s="28"/>
      <c r="L24" s="28"/>
      <c r="M24" s="49"/>
      <c r="N24" s="28"/>
      <c r="O24" s="28"/>
      <c r="P24" s="28"/>
      <c r="Q24" s="28"/>
      <c r="R24" s="28"/>
    </row>
    <row r="25" spans="1:18" ht="15.6">
      <c r="A25" s="48" t="s">
        <v>666</v>
      </c>
      <c r="B25" s="28"/>
      <c r="C25" s="28"/>
      <c r="D25" s="28"/>
      <c r="E25" s="28"/>
      <c r="F25" s="28"/>
      <c r="G25" s="49"/>
      <c r="H25" s="28"/>
      <c r="I25" s="28"/>
      <c r="J25" s="28"/>
      <c r="K25" s="28"/>
      <c r="L25" s="28"/>
      <c r="M25" s="49"/>
      <c r="N25" s="28"/>
      <c r="O25" s="28"/>
      <c r="P25" s="28"/>
      <c r="Q25" s="28"/>
      <c r="R25" s="28"/>
    </row>
    <row r="26" spans="1:18" ht="12.75" customHeight="1">
      <c r="A26" s="29"/>
      <c r="B26" s="531"/>
      <c r="C26" s="531"/>
      <c r="D26" s="531"/>
      <c r="E26" s="531"/>
      <c r="F26" s="29"/>
      <c r="G26" s="130"/>
      <c r="H26" s="531"/>
      <c r="I26" s="531"/>
      <c r="J26" s="531"/>
      <c r="K26" s="531"/>
      <c r="L26" s="29"/>
      <c r="M26" s="130"/>
      <c r="N26" s="531"/>
      <c r="O26" s="531"/>
      <c r="P26" s="531"/>
      <c r="Q26" s="531"/>
      <c r="R26" s="29"/>
    </row>
    <row r="27" spans="1:18">
      <c r="A27" s="29"/>
      <c r="B27" s="30">
        <v>2006</v>
      </c>
      <c r="C27" s="30">
        <v>2007</v>
      </c>
      <c r="D27" s="30">
        <v>2008</v>
      </c>
      <c r="E27" s="30">
        <v>2009</v>
      </c>
      <c r="F27" s="30">
        <v>2010</v>
      </c>
      <c r="G27" s="129"/>
      <c r="H27" s="30">
        <v>2006</v>
      </c>
      <c r="I27" s="30">
        <v>2007</v>
      </c>
      <c r="J27" s="30">
        <v>2008</v>
      </c>
      <c r="K27" s="30">
        <v>2009</v>
      </c>
      <c r="L27" s="30">
        <v>2010</v>
      </c>
      <c r="M27" s="129"/>
      <c r="N27" s="30">
        <v>2006</v>
      </c>
      <c r="O27" s="30">
        <v>2007</v>
      </c>
      <c r="P27" s="30">
        <v>2008</v>
      </c>
      <c r="Q27" s="30">
        <v>2009</v>
      </c>
      <c r="R27" s="30">
        <v>2010</v>
      </c>
    </row>
    <row r="28" spans="1:18" ht="13.2" customHeight="1">
      <c r="A28" s="221"/>
      <c r="B28" s="580" t="s">
        <v>321</v>
      </c>
      <c r="C28" s="580"/>
      <c r="D28" s="580"/>
      <c r="E28" s="580"/>
      <c r="F28" s="580"/>
      <c r="G28" s="216"/>
      <c r="H28" s="580" t="s">
        <v>322</v>
      </c>
      <c r="I28" s="580"/>
      <c r="J28" s="580"/>
      <c r="K28" s="580"/>
      <c r="L28" s="580"/>
      <c r="M28" s="216"/>
      <c r="N28" s="580" t="s">
        <v>949</v>
      </c>
      <c r="O28" s="580"/>
      <c r="P28" s="580"/>
      <c r="Q28" s="580"/>
      <c r="R28" s="580"/>
    </row>
    <row r="29" spans="1:18" ht="13.8" thickBot="1">
      <c r="A29" s="69" t="s">
        <v>667</v>
      </c>
      <c r="B29" s="71">
        <v>555.95000000000005</v>
      </c>
      <c r="C29" s="71">
        <v>548.54999999999995</v>
      </c>
      <c r="D29" s="71">
        <v>549.73</v>
      </c>
      <c r="E29" s="71">
        <v>461.52</v>
      </c>
      <c r="F29" s="71">
        <v>508.59</v>
      </c>
      <c r="G29" s="40"/>
      <c r="H29" s="222">
        <f>ROUND(B29*1.154,2)</f>
        <v>641.57000000000005</v>
      </c>
      <c r="I29" s="222">
        <f>ROUND(C29*1.154,2)</f>
        <v>633.03</v>
      </c>
      <c r="J29" s="222">
        <f>ROUND(D29*1.154,2)</f>
        <v>634.39</v>
      </c>
      <c r="K29" s="222">
        <f>ROUND(E29*1.154,2)</f>
        <v>532.59</v>
      </c>
      <c r="L29" s="222">
        <f>ROUND(F29*1.154,2)</f>
        <v>586.91</v>
      </c>
      <c r="M29" s="223"/>
      <c r="N29" s="222">
        <f>ROUND(B29*5.89,2)</f>
        <v>3274.55</v>
      </c>
      <c r="O29" s="222">
        <f>ROUND(C29*5.89,2)</f>
        <v>3230.96</v>
      </c>
      <c r="P29" s="222">
        <f>ROUND(D29*5.89,2)</f>
        <v>3237.91</v>
      </c>
      <c r="Q29" s="222">
        <f>ROUND(E29*5.89,2)</f>
        <v>2718.35</v>
      </c>
      <c r="R29" s="222">
        <f>ROUND(F29*5.89,2)</f>
        <v>2995.6</v>
      </c>
    </row>
    <row r="30" spans="1:18" ht="13.95" customHeight="1" thickTop="1">
      <c r="A30" s="144"/>
      <c r="B30" s="575" t="s">
        <v>336</v>
      </c>
      <c r="C30" s="575"/>
      <c r="D30" s="575"/>
      <c r="E30" s="575"/>
      <c r="F30" s="575"/>
      <c r="G30" s="216"/>
      <c r="H30" s="579" t="s">
        <v>322</v>
      </c>
      <c r="I30" s="579"/>
      <c r="J30" s="579"/>
      <c r="K30" s="579"/>
      <c r="L30" s="579"/>
      <c r="M30" s="216"/>
      <c r="N30" s="579" t="s">
        <v>949</v>
      </c>
      <c r="O30" s="579"/>
      <c r="P30" s="579"/>
      <c r="Q30" s="579"/>
      <c r="R30" s="579"/>
    </row>
    <row r="31" spans="1:18" ht="13.8" thickBot="1">
      <c r="A31" s="69" t="s">
        <v>668</v>
      </c>
      <c r="B31" s="71">
        <v>11.37</v>
      </c>
      <c r="C31" s="71">
        <v>11.27</v>
      </c>
      <c r="D31" s="71">
        <v>10.93</v>
      </c>
      <c r="E31" s="71">
        <v>10.07</v>
      </c>
      <c r="F31" s="71">
        <v>11.29</v>
      </c>
      <c r="G31" s="40"/>
      <c r="H31" s="222">
        <f>ROUND(B31*1.43,2)</f>
        <v>16.260000000000002</v>
      </c>
      <c r="I31" s="222">
        <f>ROUND(C31*1.43,2)</f>
        <v>16.12</v>
      </c>
      <c r="J31" s="222">
        <f>ROUND(D31*1.43,2)</f>
        <v>15.63</v>
      </c>
      <c r="K31" s="222">
        <f>ROUND(E31*1.43,2)</f>
        <v>14.4</v>
      </c>
      <c r="L31" s="222">
        <f>ROUND(F31*1.43,2)</f>
        <v>16.14</v>
      </c>
      <c r="M31" s="223"/>
      <c r="N31" s="222">
        <f>ROUND(B31*8.18,2)</f>
        <v>93.01</v>
      </c>
      <c r="O31" s="222">
        <f>ROUND(C31*8.18,2)</f>
        <v>92.19</v>
      </c>
      <c r="P31" s="222">
        <f>ROUND(D31*8.18,2)</f>
        <v>89.41</v>
      </c>
      <c r="Q31" s="222">
        <f>ROUND(E31*8.18,2)</f>
        <v>82.37</v>
      </c>
      <c r="R31" s="222">
        <f>ROUND(F31*8.18,2)</f>
        <v>92.35</v>
      </c>
    </row>
    <row r="32" spans="1:18" ht="13.95" customHeight="1" thickTop="1">
      <c r="A32" s="144"/>
      <c r="B32" s="576" t="s">
        <v>336</v>
      </c>
      <c r="C32" s="576"/>
      <c r="D32" s="576"/>
      <c r="E32" s="576"/>
      <c r="F32" s="576"/>
      <c r="G32" s="216"/>
      <c r="H32" s="579" t="s">
        <v>322</v>
      </c>
      <c r="I32" s="579"/>
      <c r="J32" s="579"/>
      <c r="K32" s="579"/>
      <c r="L32" s="579"/>
      <c r="M32" s="216"/>
      <c r="N32" s="579" t="s">
        <v>949</v>
      </c>
      <c r="O32" s="579"/>
      <c r="P32" s="579"/>
      <c r="Q32" s="579"/>
      <c r="R32" s="579"/>
    </row>
    <row r="33" spans="1:18" ht="13.8" thickBot="1">
      <c r="A33" s="69" t="s">
        <v>669</v>
      </c>
      <c r="B33" s="224">
        <v>34.020000000000003</v>
      </c>
      <c r="C33" s="224">
        <v>33.979999999999997</v>
      </c>
      <c r="D33" s="224">
        <v>32.049999999999997</v>
      </c>
      <c r="E33" s="224">
        <v>31.62</v>
      </c>
      <c r="F33" s="224">
        <v>32.01</v>
      </c>
      <c r="G33" s="40"/>
      <c r="H33" s="222">
        <f>ROUND(B33*1.43,2)</f>
        <v>48.65</v>
      </c>
      <c r="I33" s="222">
        <f>ROUND(C33*1.43,2)</f>
        <v>48.59</v>
      </c>
      <c r="J33" s="222">
        <f>ROUND(D33*1.43,2)</f>
        <v>45.83</v>
      </c>
      <c r="K33" s="222">
        <f>ROUND(E33*1.43,2)</f>
        <v>45.22</v>
      </c>
      <c r="L33" s="222">
        <f>ROUND(F33*1.43,2)</f>
        <v>45.77</v>
      </c>
      <c r="M33" s="110"/>
      <c r="N33" s="222">
        <f>ROUND(B33*7.33,2)</f>
        <v>249.37</v>
      </c>
      <c r="O33" s="222">
        <f>ROUND(C33*7.33,2)</f>
        <v>249.07</v>
      </c>
      <c r="P33" s="222">
        <f>ROUND(D33*7.33,2)</f>
        <v>234.93</v>
      </c>
      <c r="Q33" s="222">
        <f>ROUND(E33*7.33,2)</f>
        <v>231.77</v>
      </c>
      <c r="R33" s="222">
        <f>ROUND(F33*7.33,2)</f>
        <v>234.63</v>
      </c>
    </row>
    <row r="34" spans="1:18" ht="13.95" customHeight="1" thickTop="1">
      <c r="A34" s="52"/>
      <c r="B34" s="578"/>
      <c r="C34" s="578"/>
      <c r="D34" s="578"/>
      <c r="E34" s="578"/>
      <c r="F34" s="578"/>
      <c r="G34" s="131"/>
      <c r="H34" s="579" t="s">
        <v>322</v>
      </c>
      <c r="I34" s="579"/>
      <c r="J34" s="579"/>
      <c r="K34" s="579"/>
      <c r="L34" s="579"/>
      <c r="M34" s="131"/>
      <c r="N34" s="579" t="s">
        <v>949</v>
      </c>
      <c r="O34" s="579"/>
      <c r="P34" s="579"/>
      <c r="Q34" s="579"/>
      <c r="R34" s="579"/>
    </row>
    <row r="35" spans="1:18" ht="13.8" thickBot="1">
      <c r="A35" s="69" t="s">
        <v>282</v>
      </c>
      <c r="B35" s="120" t="s">
        <v>193</v>
      </c>
      <c r="C35" s="120" t="s">
        <v>193</v>
      </c>
      <c r="D35" s="120" t="s">
        <v>193</v>
      </c>
      <c r="E35" s="120" t="s">
        <v>193</v>
      </c>
      <c r="F35" s="120" t="s">
        <v>1102</v>
      </c>
      <c r="G35" s="40"/>
      <c r="H35" s="71">
        <f>SUM(H29,H31,H33)</f>
        <v>706.48</v>
      </c>
      <c r="I35" s="71">
        <f>SUM(I29,I31,I33)</f>
        <v>697.74</v>
      </c>
      <c r="J35" s="71">
        <f>SUM(J29,J31,J33)</f>
        <v>695.85</v>
      </c>
      <c r="K35" s="71">
        <f>SUM(K29,K31,K33)</f>
        <v>592.21</v>
      </c>
      <c r="L35" s="71">
        <f>SUM(L29,L31,L33)</f>
        <v>648.81999999999994</v>
      </c>
      <c r="M35" s="225"/>
      <c r="N35" s="226">
        <f>SUM(N29,N31,N33)</f>
        <v>3616.9300000000003</v>
      </c>
      <c r="O35" s="226">
        <f>SUM(O29,O31,O33)</f>
        <v>3572.2200000000003</v>
      </c>
      <c r="P35" s="226">
        <f>SUM(P29,P31,P33)</f>
        <v>3562.2499999999995</v>
      </c>
      <c r="Q35" s="226">
        <f>SUM(Q29,Q31,Q33)</f>
        <v>3032.49</v>
      </c>
      <c r="R35" s="226">
        <f>SUM(R29,R31,R33)</f>
        <v>3322.58</v>
      </c>
    </row>
    <row r="36" spans="1:18" ht="13.8" thickTop="1">
      <c r="A36" s="28"/>
      <c r="B36" s="28"/>
      <c r="C36" s="28"/>
      <c r="D36" s="28"/>
      <c r="E36" s="28"/>
      <c r="F36" s="28"/>
      <c r="G36" s="49"/>
      <c r="H36" s="28"/>
      <c r="I36" s="28"/>
      <c r="J36" s="28"/>
      <c r="K36" s="28"/>
      <c r="L36" s="28"/>
      <c r="M36" s="49"/>
      <c r="N36" s="28"/>
      <c r="O36" s="28"/>
      <c r="P36" s="28"/>
      <c r="Q36" s="28"/>
      <c r="R36" s="28"/>
    </row>
    <row r="37" spans="1:18">
      <c r="A37" s="530" t="s">
        <v>213</v>
      </c>
      <c r="B37" s="530"/>
      <c r="C37" s="530"/>
      <c r="D37" s="530"/>
      <c r="E37" s="530"/>
      <c r="F37" s="530"/>
      <c r="G37" s="530"/>
    </row>
  </sheetData>
  <sheetProtection password="CAF1" sheet="1" formatCells="0" formatColumns="0" formatRows="0" insertColumns="0" insertRows="0" insertHyperlinks="0" deleteColumns="0" deleteRows="0" sort="0" autoFilter="0" pivotTables="0"/>
  <mergeCells count="30">
    <mergeCell ref="A37:G37"/>
    <mergeCell ref="B34:F34"/>
    <mergeCell ref="H19:K19"/>
    <mergeCell ref="N19:Q19"/>
    <mergeCell ref="B26:E26"/>
    <mergeCell ref="H26:K26"/>
    <mergeCell ref="N26:Q26"/>
    <mergeCell ref="H34:L34"/>
    <mergeCell ref="N28:R28"/>
    <mergeCell ref="N30:R30"/>
    <mergeCell ref="H28:L28"/>
    <mergeCell ref="H30:L30"/>
    <mergeCell ref="H32:L32"/>
    <mergeCell ref="B28:F28"/>
    <mergeCell ref="N32:R32"/>
    <mergeCell ref="N34:R34"/>
    <mergeCell ref="B30:F30"/>
    <mergeCell ref="B32:F32"/>
    <mergeCell ref="B6:E6"/>
    <mergeCell ref="H6:K6"/>
    <mergeCell ref="N6:Q6"/>
    <mergeCell ref="B8:E8"/>
    <mergeCell ref="H8:K8"/>
    <mergeCell ref="N8:Q8"/>
    <mergeCell ref="B2:E2"/>
    <mergeCell ref="H2:K2"/>
    <mergeCell ref="N2:Q2"/>
    <mergeCell ref="B4:E4"/>
    <mergeCell ref="H4:K4"/>
    <mergeCell ref="N4:Q4"/>
  </mergeCells>
  <phoneticPr fontId="24" type="noConversion"/>
  <hyperlinks>
    <hyperlink ref="A37:G37"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drawing r:id="rId2"/>
</worksheet>
</file>

<file path=xl/worksheets/sheet13.xml><?xml version="1.0" encoding="utf-8"?>
<worksheet xmlns="http://schemas.openxmlformats.org/spreadsheetml/2006/main" xmlns:r="http://schemas.openxmlformats.org/officeDocument/2006/relationships">
  <dimension ref="A1:U42"/>
  <sheetViews>
    <sheetView zoomScaleNormal="100" zoomScaleSheetLayoutView="100" workbookViewId="0"/>
  </sheetViews>
  <sheetFormatPr defaultColWidth="0" defaultRowHeight="13.2" zeroHeight="1" outlineLevelCol="1"/>
  <cols>
    <col min="1" max="1" width="32.6640625" style="2" customWidth="1"/>
    <col min="2" max="2" width="7.33203125" style="2" hidden="1" customWidth="1" outlineLevel="1"/>
    <col min="3" max="3" width="7.33203125" style="2" customWidth="1" collapsed="1"/>
    <col min="4" max="7" width="7.33203125" style="2" customWidth="1"/>
    <col min="8" max="8" width="1.33203125" style="4" customWidth="1"/>
    <col min="9" max="9" width="7.33203125" style="2" hidden="1" customWidth="1" outlineLevel="1"/>
    <col min="10" max="10" width="7.33203125" style="2" customWidth="1" collapsed="1"/>
    <col min="11" max="14" width="7.33203125" style="2" customWidth="1"/>
    <col min="15" max="15" width="1.33203125" style="4" customWidth="1"/>
    <col min="16" max="16" width="7.33203125" style="2" hidden="1" customWidth="1" outlineLevel="1"/>
    <col min="17" max="17" width="7.33203125" style="2" customWidth="1" collapsed="1"/>
    <col min="18" max="21" width="7.33203125" style="2" customWidth="1"/>
    <col min="22" max="16384" width="0" style="2" hidden="1"/>
  </cols>
  <sheetData>
    <row r="1" spans="1:21" ht="15.6">
      <c r="A1" s="48" t="s">
        <v>670</v>
      </c>
      <c r="B1" s="28"/>
      <c r="C1" s="28"/>
      <c r="D1" s="28"/>
      <c r="E1" s="28"/>
      <c r="F1" s="28"/>
      <c r="G1" s="28"/>
      <c r="H1" s="49"/>
      <c r="I1" s="28"/>
      <c r="J1" s="28"/>
      <c r="K1" s="28"/>
      <c r="L1" s="28"/>
      <c r="M1" s="28"/>
      <c r="N1" s="28"/>
      <c r="O1" s="49"/>
      <c r="P1" s="28"/>
      <c r="Q1" s="28"/>
      <c r="R1" s="28"/>
      <c r="S1" s="28"/>
      <c r="T1" s="28"/>
      <c r="U1" s="28"/>
    </row>
    <row r="2" spans="1:21" ht="13.2" customHeight="1">
      <c r="A2" s="227"/>
      <c r="B2" s="531" t="s">
        <v>671</v>
      </c>
      <c r="C2" s="531"/>
      <c r="D2" s="531"/>
      <c r="E2" s="531"/>
      <c r="F2" s="531"/>
      <c r="G2" s="531"/>
      <c r="H2" s="130"/>
      <c r="I2" s="531" t="s">
        <v>671</v>
      </c>
      <c r="J2" s="531"/>
      <c r="K2" s="531"/>
      <c r="L2" s="531"/>
      <c r="M2" s="531"/>
      <c r="N2" s="531"/>
      <c r="O2" s="130"/>
      <c r="P2" s="531" t="s">
        <v>671</v>
      </c>
      <c r="Q2" s="531"/>
      <c r="R2" s="531"/>
      <c r="S2" s="531"/>
      <c r="T2" s="531"/>
      <c r="U2" s="531"/>
    </row>
    <row r="3" spans="1:21">
      <c r="A3" s="227"/>
      <c r="B3" s="30">
        <v>2005</v>
      </c>
      <c r="C3" s="30">
        <v>2006</v>
      </c>
      <c r="D3" s="30">
        <v>2007</v>
      </c>
      <c r="E3" s="30">
        <v>2008</v>
      </c>
      <c r="F3" s="51">
        <v>2009</v>
      </c>
      <c r="G3" s="51">
        <v>2010</v>
      </c>
      <c r="H3" s="129"/>
      <c r="I3" s="30">
        <v>2005</v>
      </c>
      <c r="J3" s="30">
        <v>2006</v>
      </c>
      <c r="K3" s="30">
        <v>2007</v>
      </c>
      <c r="L3" s="30">
        <v>2008</v>
      </c>
      <c r="M3" s="30">
        <v>2009</v>
      </c>
      <c r="N3" s="30">
        <v>2010</v>
      </c>
      <c r="O3" s="129"/>
      <c r="P3" s="30">
        <v>2005</v>
      </c>
      <c r="Q3" s="30">
        <v>2006</v>
      </c>
      <c r="R3" s="30">
        <v>2007</v>
      </c>
      <c r="S3" s="30">
        <v>2008</v>
      </c>
      <c r="T3" s="30">
        <v>2009</v>
      </c>
      <c r="U3" s="30">
        <v>2010</v>
      </c>
    </row>
    <row r="4" spans="1:21" ht="13.2" customHeight="1">
      <c r="A4" s="228"/>
      <c r="B4" s="531" t="s">
        <v>321</v>
      </c>
      <c r="C4" s="531"/>
      <c r="D4" s="531"/>
      <c r="E4" s="531"/>
      <c r="F4" s="531"/>
      <c r="G4" s="531"/>
      <c r="H4" s="130"/>
      <c r="I4" s="531" t="s">
        <v>322</v>
      </c>
      <c r="J4" s="531"/>
      <c r="K4" s="531"/>
      <c r="L4" s="531"/>
      <c r="M4" s="531"/>
      <c r="N4" s="531"/>
      <c r="O4" s="130"/>
      <c r="P4" s="531" t="s">
        <v>323</v>
      </c>
      <c r="Q4" s="531"/>
      <c r="R4" s="531"/>
      <c r="S4" s="531"/>
      <c r="T4" s="531"/>
      <c r="U4" s="531"/>
    </row>
    <row r="5" spans="1:21" ht="34.200000000000003" customHeight="1">
      <c r="A5" s="144" t="s">
        <v>324</v>
      </c>
      <c r="B5" s="119"/>
      <c r="C5" s="119"/>
      <c r="D5" s="119"/>
      <c r="E5" s="119"/>
      <c r="F5" s="119"/>
      <c r="G5" s="119"/>
      <c r="H5" s="131"/>
      <c r="I5" s="119"/>
      <c r="J5" s="119"/>
      <c r="K5" s="119"/>
      <c r="L5" s="119"/>
      <c r="M5" s="119"/>
      <c r="N5" s="119"/>
      <c r="O5" s="131"/>
      <c r="P5" s="119"/>
      <c r="Q5" s="119"/>
      <c r="R5" s="119"/>
      <c r="S5" s="119"/>
      <c r="T5" s="119"/>
      <c r="U5" s="119"/>
    </row>
    <row r="6" spans="1:21">
      <c r="A6" s="42" t="s">
        <v>678</v>
      </c>
      <c r="B6" s="176">
        <v>144.22999999999999</v>
      </c>
      <c r="C6" s="176">
        <v>144.27000000000001</v>
      </c>
      <c r="D6" s="176">
        <v>143.79</v>
      </c>
      <c r="E6" s="176">
        <v>143.84</v>
      </c>
      <c r="F6" s="176">
        <v>114.98</v>
      </c>
      <c r="G6" s="176">
        <v>132.69999999999999</v>
      </c>
      <c r="H6" s="168"/>
      <c r="I6" s="176">
        <f t="shared" ref="I6:N10" si="0">ROUND(B6*1.154,2)</f>
        <v>166.44</v>
      </c>
      <c r="J6" s="176">
        <f t="shared" si="0"/>
        <v>166.49</v>
      </c>
      <c r="K6" s="176">
        <f t="shared" si="0"/>
        <v>165.93</v>
      </c>
      <c r="L6" s="176">
        <f t="shared" si="0"/>
        <v>165.99</v>
      </c>
      <c r="M6" s="176">
        <f t="shared" si="0"/>
        <v>132.69</v>
      </c>
      <c r="N6" s="176">
        <f t="shared" si="0"/>
        <v>153.13999999999999</v>
      </c>
      <c r="O6" s="229"/>
      <c r="P6" s="176">
        <f t="shared" ref="P6:U7" si="1">ROUND(B6*5.89,2)</f>
        <v>849.51</v>
      </c>
      <c r="Q6" s="176">
        <f t="shared" si="1"/>
        <v>849.75</v>
      </c>
      <c r="R6" s="176">
        <f t="shared" si="1"/>
        <v>846.92</v>
      </c>
      <c r="S6" s="176">
        <f t="shared" si="1"/>
        <v>847.22</v>
      </c>
      <c r="T6" s="176">
        <f t="shared" si="1"/>
        <v>677.23</v>
      </c>
      <c r="U6" s="176">
        <f>ROUNDUP(G6*5.89,2)</f>
        <v>781.61</v>
      </c>
    </row>
    <row r="7" spans="1:21">
      <c r="A7" s="42" t="s">
        <v>679</v>
      </c>
      <c r="B7" s="176">
        <v>130.5</v>
      </c>
      <c r="C7" s="176">
        <v>129.94</v>
      </c>
      <c r="D7" s="176">
        <v>128.61000000000001</v>
      </c>
      <c r="E7" s="176">
        <v>130.69999999999999</v>
      </c>
      <c r="F7" s="176">
        <v>84.91</v>
      </c>
      <c r="G7" s="176">
        <v>107.69</v>
      </c>
      <c r="H7" s="168"/>
      <c r="I7" s="176">
        <f t="shared" si="0"/>
        <v>150.6</v>
      </c>
      <c r="J7" s="176">
        <f t="shared" si="0"/>
        <v>149.94999999999999</v>
      </c>
      <c r="K7" s="176">
        <f t="shared" si="0"/>
        <v>148.41999999999999</v>
      </c>
      <c r="L7" s="176">
        <f t="shared" si="0"/>
        <v>150.83000000000001</v>
      </c>
      <c r="M7" s="176">
        <f t="shared" si="0"/>
        <v>97.99</v>
      </c>
      <c r="N7" s="176">
        <f t="shared" si="0"/>
        <v>124.27</v>
      </c>
      <c r="O7" s="229"/>
      <c r="P7" s="176">
        <f t="shared" si="1"/>
        <v>768.65</v>
      </c>
      <c r="Q7" s="176">
        <f t="shared" si="1"/>
        <v>765.35</v>
      </c>
      <c r="R7" s="176">
        <f t="shared" si="1"/>
        <v>757.51</v>
      </c>
      <c r="S7" s="176">
        <f t="shared" si="1"/>
        <v>769.82</v>
      </c>
      <c r="T7" s="176">
        <f t="shared" si="1"/>
        <v>500.12</v>
      </c>
      <c r="U7" s="176">
        <f t="shared" si="1"/>
        <v>634.29</v>
      </c>
    </row>
    <row r="8" spans="1:21">
      <c r="A8" s="42" t="s">
        <v>680</v>
      </c>
      <c r="B8" s="176">
        <v>120.29</v>
      </c>
      <c r="C8" s="176">
        <v>123.18</v>
      </c>
      <c r="D8" s="176">
        <v>117.13</v>
      </c>
      <c r="E8" s="176">
        <v>114.42</v>
      </c>
      <c r="F8" s="176">
        <v>93.73</v>
      </c>
      <c r="G8" s="176">
        <v>93.9</v>
      </c>
      <c r="H8" s="168"/>
      <c r="I8" s="176">
        <f t="shared" si="0"/>
        <v>138.81</v>
      </c>
      <c r="J8" s="176">
        <f t="shared" si="0"/>
        <v>142.15</v>
      </c>
      <c r="K8" s="176">
        <f t="shared" si="0"/>
        <v>135.16999999999999</v>
      </c>
      <c r="L8" s="176">
        <f t="shared" si="0"/>
        <v>132.04</v>
      </c>
      <c r="M8" s="176">
        <f t="shared" si="0"/>
        <v>108.16</v>
      </c>
      <c r="N8" s="176">
        <f t="shared" si="0"/>
        <v>108.36</v>
      </c>
      <c r="O8" s="229"/>
      <c r="P8" s="176">
        <f t="shared" ref="P8:R10" si="2">ROUND(B8*5.89,2)</f>
        <v>708.51</v>
      </c>
      <c r="Q8" s="176">
        <f t="shared" si="2"/>
        <v>725.53</v>
      </c>
      <c r="R8" s="176">
        <f t="shared" si="2"/>
        <v>689.9</v>
      </c>
      <c r="S8" s="176">
        <f>ROUNDUP(E8*5.89,2)</f>
        <v>673.93999999999994</v>
      </c>
      <c r="T8" s="176">
        <f>ROUND(F8*5.89,2)</f>
        <v>552.07000000000005</v>
      </c>
      <c r="U8" s="176">
        <f>ROUND(G8*5.89,2)</f>
        <v>553.07000000000005</v>
      </c>
    </row>
    <row r="9" spans="1:21">
      <c r="A9" s="42" t="s">
        <v>681</v>
      </c>
      <c r="B9" s="176">
        <v>144.33000000000001</v>
      </c>
      <c r="C9" s="176">
        <v>141.44999999999999</v>
      </c>
      <c r="D9" s="176">
        <v>140.97999999999999</v>
      </c>
      <c r="E9" s="176">
        <v>128.66999999999999</v>
      </c>
      <c r="F9" s="176">
        <v>131.4</v>
      </c>
      <c r="G9" s="176">
        <v>130.85</v>
      </c>
      <c r="H9" s="168"/>
      <c r="I9" s="176">
        <f t="shared" ref="I9:L10" si="3">ROUND(B9*1.154,2)</f>
        <v>166.56</v>
      </c>
      <c r="J9" s="176">
        <f t="shared" si="3"/>
        <v>163.22999999999999</v>
      </c>
      <c r="K9" s="176">
        <f t="shared" si="3"/>
        <v>162.69</v>
      </c>
      <c r="L9" s="176">
        <f t="shared" si="3"/>
        <v>148.49</v>
      </c>
      <c r="M9" s="176">
        <f>ROUNDDOWN(F9*1.154,2)</f>
        <v>151.63</v>
      </c>
      <c r="N9" s="176">
        <f t="shared" si="0"/>
        <v>151</v>
      </c>
      <c r="O9" s="229"/>
      <c r="P9" s="176">
        <f t="shared" si="2"/>
        <v>850.1</v>
      </c>
      <c r="Q9" s="176">
        <f t="shared" si="2"/>
        <v>833.14</v>
      </c>
      <c r="R9" s="176">
        <f t="shared" si="2"/>
        <v>830.37</v>
      </c>
      <c r="S9" s="176">
        <f>ROUND(E9*5.89,2)</f>
        <v>757.87</v>
      </c>
      <c r="T9" s="176">
        <f>ROUND(F9*5.89,2)</f>
        <v>773.95</v>
      </c>
      <c r="U9" s="176">
        <f>ROUND(G9*5.89,2)</f>
        <v>770.71</v>
      </c>
    </row>
    <row r="10" spans="1:21" ht="13.8" thickBot="1">
      <c r="A10" s="230" t="s">
        <v>672</v>
      </c>
      <c r="B10" s="231">
        <v>539.35</v>
      </c>
      <c r="C10" s="231">
        <v>538.84</v>
      </c>
      <c r="D10" s="231">
        <v>530.51</v>
      </c>
      <c r="E10" s="231">
        <v>517.63</v>
      </c>
      <c r="F10" s="231">
        <v>425.02</v>
      </c>
      <c r="G10" s="231">
        <v>465.14</v>
      </c>
      <c r="H10" s="166"/>
      <c r="I10" s="231">
        <f t="shared" si="3"/>
        <v>622.41</v>
      </c>
      <c r="J10" s="231">
        <f t="shared" si="3"/>
        <v>621.82000000000005</v>
      </c>
      <c r="K10" s="231">
        <f t="shared" si="3"/>
        <v>612.21</v>
      </c>
      <c r="L10" s="231">
        <f t="shared" si="3"/>
        <v>597.35</v>
      </c>
      <c r="M10" s="231">
        <f>ROUND(F10*1.154,2)</f>
        <v>490.47</v>
      </c>
      <c r="N10" s="231">
        <f t="shared" si="0"/>
        <v>536.77</v>
      </c>
      <c r="O10" s="232"/>
      <c r="P10" s="231">
        <f t="shared" si="2"/>
        <v>3176.77</v>
      </c>
      <c r="Q10" s="231">
        <f t="shared" si="2"/>
        <v>3173.77</v>
      </c>
      <c r="R10" s="231">
        <f t="shared" si="2"/>
        <v>3124.7</v>
      </c>
      <c r="S10" s="231">
        <f>ROUNDUP(E10*5.89,2)</f>
        <v>3048.8500000000004</v>
      </c>
      <c r="T10" s="231">
        <f>ROUND(F10*5.89,2)</f>
        <v>2503.37</v>
      </c>
      <c r="U10" s="231">
        <f>ROUNDUP(G10*5.89,2)</f>
        <v>2739.6800000000003</v>
      </c>
    </row>
    <row r="11" spans="1:21" ht="25.2" customHeight="1">
      <c r="A11" s="144" t="s">
        <v>673</v>
      </c>
      <c r="B11" s="167"/>
      <c r="C11" s="167"/>
      <c r="D11" s="167"/>
      <c r="E11" s="167"/>
      <c r="F11" s="167"/>
      <c r="G11" s="167"/>
      <c r="H11" s="168"/>
      <c r="I11" s="167"/>
      <c r="J11" s="167"/>
      <c r="K11" s="167"/>
      <c r="L11" s="167"/>
      <c r="M11" s="167"/>
      <c r="N11" s="167"/>
      <c r="O11" s="168"/>
      <c r="P11" s="167"/>
      <c r="Q11" s="167"/>
      <c r="R11" s="167"/>
      <c r="S11" s="167"/>
      <c r="T11" s="167"/>
      <c r="U11" s="167"/>
    </row>
    <row r="12" spans="1:21">
      <c r="A12" s="42" t="s">
        <v>678</v>
      </c>
      <c r="B12" s="176">
        <v>0</v>
      </c>
      <c r="C12" s="176">
        <v>0.54</v>
      </c>
      <c r="D12" s="176">
        <v>0.41</v>
      </c>
      <c r="E12" s="176">
        <v>0.52</v>
      </c>
      <c r="F12" s="176">
        <v>0.56000000000000005</v>
      </c>
      <c r="G12" s="176">
        <v>0.62</v>
      </c>
      <c r="H12" s="229"/>
      <c r="I12" s="176">
        <f t="shared" ref="I12:N16" si="4">ROUND(B12*1.154,2)</f>
        <v>0</v>
      </c>
      <c r="J12" s="176">
        <f t="shared" si="4"/>
        <v>0.62</v>
      </c>
      <c r="K12" s="176">
        <f t="shared" si="4"/>
        <v>0.47</v>
      </c>
      <c r="L12" s="176">
        <f t="shared" si="4"/>
        <v>0.6</v>
      </c>
      <c r="M12" s="176">
        <f t="shared" si="4"/>
        <v>0.65</v>
      </c>
      <c r="N12" s="176">
        <f t="shared" si="4"/>
        <v>0.72</v>
      </c>
      <c r="O12" s="229"/>
      <c r="P12" s="176">
        <f t="shared" ref="P12:Q16" si="5">ROUND(B12*5.89,2)</f>
        <v>0</v>
      </c>
      <c r="Q12" s="176">
        <f t="shared" si="5"/>
        <v>3.18</v>
      </c>
      <c r="R12" s="176">
        <f>ROUNDUP(D12*5.89,2)</f>
        <v>2.42</v>
      </c>
      <c r="S12" s="176">
        <f t="shared" ref="S12:U16" si="6">ROUND(E12*5.89,2)</f>
        <v>3.06</v>
      </c>
      <c r="T12" s="176">
        <f t="shared" si="6"/>
        <v>3.3</v>
      </c>
      <c r="U12" s="176">
        <f t="shared" si="6"/>
        <v>3.65</v>
      </c>
    </row>
    <row r="13" spans="1:21">
      <c r="A13" s="42" t="s">
        <v>679</v>
      </c>
      <c r="B13" s="176">
        <v>0</v>
      </c>
      <c r="C13" s="176">
        <v>0.51</v>
      </c>
      <c r="D13" s="176">
        <v>0.44</v>
      </c>
      <c r="E13" s="176">
        <v>0.54</v>
      </c>
      <c r="F13" s="176">
        <v>0.46</v>
      </c>
      <c r="G13" s="176">
        <v>0.61</v>
      </c>
      <c r="H13" s="229"/>
      <c r="I13" s="176">
        <f t="shared" si="4"/>
        <v>0</v>
      </c>
      <c r="J13" s="176">
        <f t="shared" si="4"/>
        <v>0.59</v>
      </c>
      <c r="K13" s="176">
        <f t="shared" si="4"/>
        <v>0.51</v>
      </c>
      <c r="L13" s="176">
        <f t="shared" si="4"/>
        <v>0.62</v>
      </c>
      <c r="M13" s="176">
        <f t="shared" si="4"/>
        <v>0.53</v>
      </c>
      <c r="N13" s="176">
        <f t="shared" si="4"/>
        <v>0.7</v>
      </c>
      <c r="O13" s="229"/>
      <c r="P13" s="176">
        <f t="shared" si="5"/>
        <v>0</v>
      </c>
      <c r="Q13" s="176">
        <f t="shared" si="5"/>
        <v>3</v>
      </c>
      <c r="R13" s="176">
        <f>ROUND(D13*5.89,2)</f>
        <v>2.59</v>
      </c>
      <c r="S13" s="176">
        <f t="shared" si="6"/>
        <v>3.18</v>
      </c>
      <c r="T13" s="176">
        <f t="shared" si="6"/>
        <v>2.71</v>
      </c>
      <c r="U13" s="176">
        <f t="shared" si="6"/>
        <v>3.59</v>
      </c>
    </row>
    <row r="14" spans="1:21">
      <c r="A14" s="42" t="s">
        <v>680</v>
      </c>
      <c r="B14" s="176">
        <v>0</v>
      </c>
      <c r="C14" s="176">
        <v>0.46</v>
      </c>
      <c r="D14" s="176">
        <v>0.44</v>
      </c>
      <c r="E14" s="176">
        <v>0.5</v>
      </c>
      <c r="F14" s="176">
        <v>0.46</v>
      </c>
      <c r="G14" s="176">
        <v>0.56999999999999995</v>
      </c>
      <c r="H14" s="229"/>
      <c r="I14" s="176">
        <f t="shared" si="4"/>
        <v>0</v>
      </c>
      <c r="J14" s="176">
        <f t="shared" si="4"/>
        <v>0.53</v>
      </c>
      <c r="K14" s="176">
        <f t="shared" si="4"/>
        <v>0.51</v>
      </c>
      <c r="L14" s="176">
        <f t="shared" si="4"/>
        <v>0.57999999999999996</v>
      </c>
      <c r="M14" s="176">
        <f t="shared" si="4"/>
        <v>0.53</v>
      </c>
      <c r="N14" s="176">
        <f t="shared" si="4"/>
        <v>0.66</v>
      </c>
      <c r="O14" s="229"/>
      <c r="P14" s="176">
        <f t="shared" si="5"/>
        <v>0</v>
      </c>
      <c r="Q14" s="176">
        <f t="shared" si="5"/>
        <v>2.71</v>
      </c>
      <c r="R14" s="176">
        <f>ROUND(D14*5.89,2)</f>
        <v>2.59</v>
      </c>
      <c r="S14" s="176">
        <f t="shared" si="6"/>
        <v>2.95</v>
      </c>
      <c r="T14" s="176">
        <f t="shared" si="6"/>
        <v>2.71</v>
      </c>
      <c r="U14" s="176">
        <f t="shared" si="6"/>
        <v>3.36</v>
      </c>
    </row>
    <row r="15" spans="1:21">
      <c r="A15" s="42" t="s">
        <v>681</v>
      </c>
      <c r="B15" s="176">
        <v>0.55000000000000004</v>
      </c>
      <c r="C15" s="176">
        <v>0.56000000000000005</v>
      </c>
      <c r="D15" s="176">
        <v>0.48</v>
      </c>
      <c r="E15" s="176">
        <v>0.6</v>
      </c>
      <c r="F15" s="176">
        <v>0.6</v>
      </c>
      <c r="G15" s="176">
        <v>1.1499999999999999</v>
      </c>
      <c r="H15" s="229"/>
      <c r="I15" s="176">
        <f t="shared" si="4"/>
        <v>0.63</v>
      </c>
      <c r="J15" s="176">
        <f t="shared" si="4"/>
        <v>0.65</v>
      </c>
      <c r="K15" s="176">
        <f t="shared" si="4"/>
        <v>0.55000000000000004</v>
      </c>
      <c r="L15" s="176">
        <f t="shared" si="4"/>
        <v>0.69</v>
      </c>
      <c r="M15" s="176">
        <f t="shared" si="4"/>
        <v>0.69</v>
      </c>
      <c r="N15" s="176">
        <f>ROUNDDOWN(G15*1.154,2)</f>
        <v>1.32</v>
      </c>
      <c r="O15" s="229"/>
      <c r="P15" s="176">
        <f t="shared" si="5"/>
        <v>3.24</v>
      </c>
      <c r="Q15" s="176">
        <f t="shared" si="5"/>
        <v>3.3</v>
      </c>
      <c r="R15" s="176">
        <f>ROUND(D15*5.89,2)</f>
        <v>2.83</v>
      </c>
      <c r="S15" s="176">
        <f t="shared" si="6"/>
        <v>3.53</v>
      </c>
      <c r="T15" s="176">
        <f t="shared" si="6"/>
        <v>3.53</v>
      </c>
      <c r="U15" s="176">
        <f>ROUNDUP(G15*5.89,2)</f>
        <v>6.7799999999999994</v>
      </c>
    </row>
    <row r="16" spans="1:21" ht="13.8" thickBot="1">
      <c r="A16" s="230" t="s">
        <v>672</v>
      </c>
      <c r="B16" s="231">
        <v>0.55000000000000004</v>
      </c>
      <c r="C16" s="231">
        <v>2.0699999999999998</v>
      </c>
      <c r="D16" s="231">
        <v>1.77</v>
      </c>
      <c r="E16" s="231">
        <v>2.16</v>
      </c>
      <c r="F16" s="231">
        <v>2.08</v>
      </c>
      <c r="G16" s="231">
        <v>2.95</v>
      </c>
      <c r="H16" s="232"/>
      <c r="I16" s="231">
        <f t="shared" si="4"/>
        <v>0.63</v>
      </c>
      <c r="J16" s="231">
        <f t="shared" si="4"/>
        <v>2.39</v>
      </c>
      <c r="K16" s="231">
        <f t="shared" si="4"/>
        <v>2.04</v>
      </c>
      <c r="L16" s="231">
        <f t="shared" si="4"/>
        <v>2.4900000000000002</v>
      </c>
      <c r="M16" s="231">
        <f t="shared" si="4"/>
        <v>2.4</v>
      </c>
      <c r="N16" s="231">
        <f t="shared" si="4"/>
        <v>3.4</v>
      </c>
      <c r="O16" s="232"/>
      <c r="P16" s="231">
        <f t="shared" si="5"/>
        <v>3.24</v>
      </c>
      <c r="Q16" s="231">
        <f t="shared" si="5"/>
        <v>12.19</v>
      </c>
      <c r="R16" s="231">
        <f>ROUND(D16*5.89,2)</f>
        <v>10.43</v>
      </c>
      <c r="S16" s="231">
        <f t="shared" si="6"/>
        <v>12.72</v>
      </c>
      <c r="T16" s="231">
        <f t="shared" si="6"/>
        <v>12.25</v>
      </c>
      <c r="U16" s="231">
        <f t="shared" si="6"/>
        <v>17.38</v>
      </c>
    </row>
    <row r="17" spans="1:21">
      <c r="A17" s="144" t="s">
        <v>330</v>
      </c>
      <c r="B17" s="167"/>
      <c r="C17" s="167"/>
      <c r="D17" s="167"/>
      <c r="E17" s="167"/>
      <c r="F17" s="167"/>
      <c r="G17" s="167"/>
      <c r="H17" s="168"/>
      <c r="I17" s="167"/>
      <c r="J17" s="167"/>
      <c r="K17" s="167"/>
      <c r="L17" s="167"/>
      <c r="M17" s="167"/>
      <c r="N17" s="167"/>
      <c r="O17" s="168"/>
      <c r="P17" s="167"/>
      <c r="Q17" s="167"/>
      <c r="R17" s="167"/>
      <c r="S17" s="167"/>
      <c r="T17" s="167"/>
      <c r="U17" s="167"/>
    </row>
    <row r="18" spans="1:21">
      <c r="A18" s="42" t="s">
        <v>678</v>
      </c>
      <c r="B18" s="176">
        <v>3.86</v>
      </c>
      <c r="C18" s="176">
        <v>3.9</v>
      </c>
      <c r="D18" s="176">
        <v>3.73</v>
      </c>
      <c r="E18" s="176">
        <v>3.89</v>
      </c>
      <c r="F18" s="176">
        <v>3.28</v>
      </c>
      <c r="G18" s="176">
        <v>4.0999999999999996</v>
      </c>
      <c r="H18" s="168"/>
      <c r="I18" s="176">
        <f>ROUNDUP(B18*1.154,2)</f>
        <v>4.46</v>
      </c>
      <c r="J18" s="176">
        <f>ROUND(C18*1.154,2)</f>
        <v>4.5</v>
      </c>
      <c r="K18" s="176">
        <f>ROUNDUP(D18*1.154,2)</f>
        <v>4.3099999999999996</v>
      </c>
      <c r="L18" s="176">
        <f>ROUND(E18*1.154,2)</f>
        <v>4.49</v>
      </c>
      <c r="M18" s="176">
        <f>ROUND(F18*1.154,2)</f>
        <v>3.79</v>
      </c>
      <c r="N18" s="176">
        <f>ROUND(G18*1.154,2)</f>
        <v>4.7300000000000004</v>
      </c>
      <c r="O18" s="229"/>
      <c r="P18" s="176">
        <f>ROUNDDOWN(B18*5.89,2)</f>
        <v>22.73</v>
      </c>
      <c r="Q18" s="176">
        <f>ROUNDUP(C18*5.89,2)</f>
        <v>22.98</v>
      </c>
      <c r="R18" s="176">
        <f t="shared" ref="R18:U22" si="7">ROUND(D18*5.89,2)</f>
        <v>21.97</v>
      </c>
      <c r="S18" s="176">
        <f t="shared" si="7"/>
        <v>22.91</v>
      </c>
      <c r="T18" s="176">
        <f t="shared" si="7"/>
        <v>19.32</v>
      </c>
      <c r="U18" s="176">
        <f>ROUNDDOWN(G18*5.89,2)</f>
        <v>24.14</v>
      </c>
    </row>
    <row r="19" spans="1:21">
      <c r="A19" s="42" t="s">
        <v>679</v>
      </c>
      <c r="B19" s="176">
        <v>3.67</v>
      </c>
      <c r="C19" s="176">
        <v>3.63</v>
      </c>
      <c r="D19" s="176">
        <v>3.5</v>
      </c>
      <c r="E19" s="176">
        <v>3.64</v>
      </c>
      <c r="F19" s="176">
        <v>2.63</v>
      </c>
      <c r="G19" s="176">
        <v>3.5</v>
      </c>
      <c r="H19" s="168"/>
      <c r="I19" s="176">
        <f>ROUND(B19*1.154,2)</f>
        <v>4.24</v>
      </c>
      <c r="J19" s="176">
        <f>ROUND(C19*1.154,2)</f>
        <v>4.1900000000000004</v>
      </c>
      <c r="K19" s="176">
        <f t="shared" ref="K19:L21" si="8">ROUND(D19*1.154,2)</f>
        <v>4.04</v>
      </c>
      <c r="L19" s="176">
        <f t="shared" si="8"/>
        <v>4.2</v>
      </c>
      <c r="M19" s="176">
        <f>ROUNDDOWN(F19*1.154,2)</f>
        <v>3.03</v>
      </c>
      <c r="N19" s="176">
        <f>ROUNDDOWN(G19*1.154,2)</f>
        <v>4.03</v>
      </c>
      <c r="O19" s="229"/>
      <c r="P19" s="176">
        <f t="shared" ref="P19:Q22" si="9">ROUND(B19*5.89,2)</f>
        <v>21.62</v>
      </c>
      <c r="Q19" s="176">
        <f t="shared" si="9"/>
        <v>21.38</v>
      </c>
      <c r="R19" s="176">
        <f t="shared" si="7"/>
        <v>20.62</v>
      </c>
      <c r="S19" s="176">
        <f t="shared" si="7"/>
        <v>21.44</v>
      </c>
      <c r="T19" s="176">
        <f t="shared" si="7"/>
        <v>15.49</v>
      </c>
      <c r="U19" s="176">
        <f t="shared" si="7"/>
        <v>20.62</v>
      </c>
    </row>
    <row r="20" spans="1:21">
      <c r="A20" s="42" t="s">
        <v>680</v>
      </c>
      <c r="B20" s="176">
        <v>3.65</v>
      </c>
      <c r="C20" s="176">
        <v>3.43</v>
      </c>
      <c r="D20" s="176">
        <v>3.73</v>
      </c>
      <c r="E20" s="176">
        <v>3.73</v>
      </c>
      <c r="F20" s="176">
        <v>2.16</v>
      </c>
      <c r="G20" s="176">
        <v>3.54</v>
      </c>
      <c r="H20" s="168"/>
      <c r="I20" s="176">
        <f>ROUND(B20*1.154,2)</f>
        <v>4.21</v>
      </c>
      <c r="J20" s="176">
        <f>ROUND(C20*1.154,2)</f>
        <v>3.96</v>
      </c>
      <c r="K20" s="176">
        <f t="shared" si="8"/>
        <v>4.3</v>
      </c>
      <c r="L20" s="176">
        <f t="shared" si="8"/>
        <v>4.3</v>
      </c>
      <c r="M20" s="176">
        <f t="shared" ref="M20:N22" si="10">ROUND(F20*1.154,2)</f>
        <v>2.4900000000000002</v>
      </c>
      <c r="N20" s="176">
        <f t="shared" si="10"/>
        <v>4.09</v>
      </c>
      <c r="O20" s="229"/>
      <c r="P20" s="176">
        <f t="shared" si="9"/>
        <v>21.5</v>
      </c>
      <c r="Q20" s="176">
        <f t="shared" si="9"/>
        <v>20.2</v>
      </c>
      <c r="R20" s="176">
        <f t="shared" si="7"/>
        <v>21.97</v>
      </c>
      <c r="S20" s="176">
        <f t="shared" si="7"/>
        <v>21.97</v>
      </c>
      <c r="T20" s="176">
        <f t="shared" si="7"/>
        <v>12.72</v>
      </c>
      <c r="U20" s="176">
        <f t="shared" si="7"/>
        <v>20.85</v>
      </c>
    </row>
    <row r="21" spans="1:21">
      <c r="A21" s="42" t="s">
        <v>681</v>
      </c>
      <c r="B21" s="176">
        <v>3.92</v>
      </c>
      <c r="C21" s="176">
        <v>4.08</v>
      </c>
      <c r="D21" s="176">
        <v>4.0599999999999996</v>
      </c>
      <c r="E21" s="176">
        <v>3.61</v>
      </c>
      <c r="F21" s="176">
        <v>3.77</v>
      </c>
      <c r="G21" s="176">
        <v>4</v>
      </c>
      <c r="H21" s="168"/>
      <c r="I21" s="176">
        <f>ROUND(B21*1.154,2)</f>
        <v>4.5199999999999996</v>
      </c>
      <c r="J21" s="176">
        <f>ROUND(C21*1.154,2)</f>
        <v>4.71</v>
      </c>
      <c r="K21" s="176">
        <f t="shared" si="8"/>
        <v>4.6900000000000004</v>
      </c>
      <c r="L21" s="176">
        <f t="shared" si="8"/>
        <v>4.17</v>
      </c>
      <c r="M21" s="176">
        <f t="shared" si="10"/>
        <v>4.3499999999999996</v>
      </c>
      <c r="N21" s="176">
        <f t="shared" si="10"/>
        <v>4.62</v>
      </c>
      <c r="O21" s="229"/>
      <c r="P21" s="176">
        <f t="shared" si="9"/>
        <v>23.09</v>
      </c>
      <c r="Q21" s="176">
        <f t="shared" si="9"/>
        <v>24.03</v>
      </c>
      <c r="R21" s="176">
        <f t="shared" si="7"/>
        <v>23.91</v>
      </c>
      <c r="S21" s="176">
        <f t="shared" si="7"/>
        <v>21.26</v>
      </c>
      <c r="T21" s="176">
        <f t="shared" si="7"/>
        <v>22.21</v>
      </c>
      <c r="U21" s="176">
        <f t="shared" si="7"/>
        <v>23.56</v>
      </c>
    </row>
    <row r="22" spans="1:21" ht="13.8" thickBot="1">
      <c r="A22" s="230" t="s">
        <v>672</v>
      </c>
      <c r="B22" s="231">
        <v>15.1</v>
      </c>
      <c r="C22" s="231">
        <v>15.04</v>
      </c>
      <c r="D22" s="231">
        <v>15.02</v>
      </c>
      <c r="E22" s="231">
        <v>14.87</v>
      </c>
      <c r="F22" s="231">
        <v>11.84</v>
      </c>
      <c r="G22" s="231">
        <v>15.14</v>
      </c>
      <c r="H22" s="166"/>
      <c r="I22" s="231">
        <f>ROUND(B22*1.154,2)</f>
        <v>17.43</v>
      </c>
      <c r="J22" s="231">
        <f>ROUND(C22*1.154,2)</f>
        <v>17.36</v>
      </c>
      <c r="K22" s="231">
        <f>ROUNDUP(D22*1.154,2)</f>
        <v>17.34</v>
      </c>
      <c r="L22" s="231">
        <f>ROUND(E22*1.154,2)</f>
        <v>17.16</v>
      </c>
      <c r="M22" s="231">
        <f t="shared" si="10"/>
        <v>13.66</v>
      </c>
      <c r="N22" s="231">
        <f t="shared" si="10"/>
        <v>17.47</v>
      </c>
      <c r="O22" s="232"/>
      <c r="P22" s="231">
        <f t="shared" si="9"/>
        <v>88.94</v>
      </c>
      <c r="Q22" s="231">
        <f t="shared" si="9"/>
        <v>88.59</v>
      </c>
      <c r="R22" s="231">
        <f t="shared" si="7"/>
        <v>88.47</v>
      </c>
      <c r="S22" s="231">
        <f t="shared" si="7"/>
        <v>87.58</v>
      </c>
      <c r="T22" s="231">
        <f t="shared" si="7"/>
        <v>69.739999999999995</v>
      </c>
      <c r="U22" s="231">
        <f t="shared" si="7"/>
        <v>89.17</v>
      </c>
    </row>
    <row r="23" spans="1:21">
      <c r="A23" s="144" t="s">
        <v>674</v>
      </c>
      <c r="B23" s="167"/>
      <c r="C23" s="167"/>
      <c r="D23" s="167"/>
      <c r="E23" s="167"/>
      <c r="F23" s="167"/>
      <c r="G23" s="167"/>
      <c r="H23" s="168"/>
      <c r="I23" s="167"/>
      <c r="J23" s="167"/>
      <c r="K23" s="167"/>
      <c r="L23" s="167"/>
      <c r="M23" s="167"/>
      <c r="N23" s="167"/>
      <c r="O23" s="168"/>
      <c r="P23" s="167"/>
      <c r="Q23" s="167"/>
      <c r="R23" s="167"/>
      <c r="S23" s="167"/>
      <c r="T23" s="167"/>
      <c r="U23" s="167"/>
    </row>
    <row r="24" spans="1:21" ht="12.75" customHeight="1">
      <c r="A24" s="42" t="s">
        <v>678</v>
      </c>
      <c r="B24" s="176">
        <v>0</v>
      </c>
      <c r="C24" s="176">
        <v>0</v>
      </c>
      <c r="D24" s="176">
        <v>0</v>
      </c>
      <c r="E24" s="176">
        <v>2.84</v>
      </c>
      <c r="F24" s="176">
        <v>4.6399999999999997</v>
      </c>
      <c r="G24" s="176">
        <v>6.84</v>
      </c>
      <c r="H24" s="229"/>
      <c r="I24" s="176">
        <f t="shared" ref="I24:N26" si="11">ROUND(B24*1.154,2)</f>
        <v>0</v>
      </c>
      <c r="J24" s="176">
        <f t="shared" si="11"/>
        <v>0</v>
      </c>
      <c r="K24" s="176">
        <f t="shared" si="11"/>
        <v>0</v>
      </c>
      <c r="L24" s="176">
        <f t="shared" si="11"/>
        <v>3.28</v>
      </c>
      <c r="M24" s="176">
        <f t="shared" si="11"/>
        <v>5.35</v>
      </c>
      <c r="N24" s="176">
        <f t="shared" si="11"/>
        <v>7.89</v>
      </c>
      <c r="O24" s="229"/>
      <c r="P24" s="176">
        <f t="shared" ref="P24:U27" si="12">ROUND(B24*5.89,2)</f>
        <v>0</v>
      </c>
      <c r="Q24" s="176">
        <f t="shared" si="12"/>
        <v>0</v>
      </c>
      <c r="R24" s="176">
        <f t="shared" si="12"/>
        <v>0</v>
      </c>
      <c r="S24" s="176">
        <f t="shared" si="12"/>
        <v>16.73</v>
      </c>
      <c r="T24" s="176">
        <f t="shared" si="12"/>
        <v>27.33</v>
      </c>
      <c r="U24" s="176">
        <f t="shared" si="12"/>
        <v>40.29</v>
      </c>
    </row>
    <row r="25" spans="1:21">
      <c r="A25" s="42" t="s">
        <v>679</v>
      </c>
      <c r="B25" s="176">
        <v>0</v>
      </c>
      <c r="C25" s="176">
        <v>0</v>
      </c>
      <c r="D25" s="176">
        <v>0</v>
      </c>
      <c r="E25" s="176">
        <v>3.23</v>
      </c>
      <c r="F25" s="176">
        <v>4.91</v>
      </c>
      <c r="G25" s="176">
        <v>5.88</v>
      </c>
      <c r="H25" s="229"/>
      <c r="I25" s="176">
        <f t="shared" si="11"/>
        <v>0</v>
      </c>
      <c r="J25" s="176">
        <f t="shared" si="11"/>
        <v>0</v>
      </c>
      <c r="K25" s="176">
        <f t="shared" si="11"/>
        <v>0</v>
      </c>
      <c r="L25" s="176">
        <f t="shared" si="11"/>
        <v>3.73</v>
      </c>
      <c r="M25" s="176">
        <f t="shared" si="11"/>
        <v>5.67</v>
      </c>
      <c r="N25" s="176">
        <f t="shared" si="11"/>
        <v>6.79</v>
      </c>
      <c r="O25" s="229"/>
      <c r="P25" s="176">
        <f t="shared" si="12"/>
        <v>0</v>
      </c>
      <c r="Q25" s="176">
        <f t="shared" si="12"/>
        <v>0</v>
      </c>
      <c r="R25" s="176">
        <f t="shared" si="12"/>
        <v>0</v>
      </c>
      <c r="S25" s="176">
        <f t="shared" si="12"/>
        <v>19.02</v>
      </c>
      <c r="T25" s="176">
        <f t="shared" si="12"/>
        <v>28.92</v>
      </c>
      <c r="U25" s="176">
        <f t="shared" si="12"/>
        <v>34.630000000000003</v>
      </c>
    </row>
    <row r="26" spans="1:21">
      <c r="A26" s="42" t="s">
        <v>680</v>
      </c>
      <c r="B26" s="176">
        <v>0</v>
      </c>
      <c r="C26" s="176">
        <v>0</v>
      </c>
      <c r="D26" s="176">
        <v>0.02</v>
      </c>
      <c r="E26" s="176">
        <v>3.81</v>
      </c>
      <c r="F26" s="176">
        <v>5.98</v>
      </c>
      <c r="G26" s="176">
        <v>5.67</v>
      </c>
      <c r="H26" s="229"/>
      <c r="I26" s="176">
        <f t="shared" si="11"/>
        <v>0</v>
      </c>
      <c r="J26" s="176">
        <f t="shared" si="11"/>
        <v>0</v>
      </c>
      <c r="K26" s="176">
        <f t="shared" si="11"/>
        <v>0.02</v>
      </c>
      <c r="L26" s="176">
        <f t="shared" si="11"/>
        <v>4.4000000000000004</v>
      </c>
      <c r="M26" s="176">
        <f t="shared" si="11"/>
        <v>6.9</v>
      </c>
      <c r="N26" s="176">
        <f t="shared" si="11"/>
        <v>6.54</v>
      </c>
      <c r="O26" s="229"/>
      <c r="P26" s="176">
        <f t="shared" si="12"/>
        <v>0</v>
      </c>
      <c r="Q26" s="176">
        <f t="shared" si="12"/>
        <v>0</v>
      </c>
      <c r="R26" s="176">
        <f t="shared" si="12"/>
        <v>0.12</v>
      </c>
      <c r="S26" s="176">
        <f t="shared" si="12"/>
        <v>22.44</v>
      </c>
      <c r="T26" s="176">
        <f t="shared" si="12"/>
        <v>35.22</v>
      </c>
      <c r="U26" s="176">
        <f t="shared" si="12"/>
        <v>33.4</v>
      </c>
    </row>
    <row r="27" spans="1:21">
      <c r="A27" s="42" t="s">
        <v>681</v>
      </c>
      <c r="B27" s="176">
        <v>0</v>
      </c>
      <c r="C27" s="176">
        <v>0</v>
      </c>
      <c r="D27" s="176">
        <v>1.23</v>
      </c>
      <c r="E27" s="176">
        <v>5.19</v>
      </c>
      <c r="F27" s="176">
        <v>7.05</v>
      </c>
      <c r="G27" s="176">
        <v>6.97</v>
      </c>
      <c r="H27" s="229"/>
      <c r="I27" s="176">
        <f t="shared" ref="I27:K28" si="13">ROUND(B27*1.154,2)</f>
        <v>0</v>
      </c>
      <c r="J27" s="176">
        <f t="shared" si="13"/>
        <v>0</v>
      </c>
      <c r="K27" s="176">
        <f t="shared" si="13"/>
        <v>1.42</v>
      </c>
      <c r="L27" s="176">
        <f>ROUNDDOWN(E27*1.154,2)</f>
        <v>5.98</v>
      </c>
      <c r="M27" s="176">
        <f>ROUND(F27*1.154,2)</f>
        <v>8.14</v>
      </c>
      <c r="N27" s="176">
        <f>ROUNDUP(G27*1.154,2)</f>
        <v>8.0499999999999989</v>
      </c>
      <c r="O27" s="229"/>
      <c r="P27" s="176">
        <f t="shared" si="12"/>
        <v>0</v>
      </c>
      <c r="Q27" s="176">
        <f t="shared" si="12"/>
        <v>0</v>
      </c>
      <c r="R27" s="176">
        <f t="shared" si="12"/>
        <v>7.24</v>
      </c>
      <c r="S27" s="176">
        <f t="shared" si="12"/>
        <v>30.57</v>
      </c>
      <c r="T27" s="176">
        <f t="shared" si="12"/>
        <v>41.52</v>
      </c>
      <c r="U27" s="176">
        <f t="shared" si="12"/>
        <v>41.05</v>
      </c>
    </row>
    <row r="28" spans="1:21" ht="13.8" thickBot="1">
      <c r="A28" s="230" t="s">
        <v>672</v>
      </c>
      <c r="B28" s="231">
        <v>0</v>
      </c>
      <c r="C28" s="231">
        <v>0</v>
      </c>
      <c r="D28" s="231">
        <v>1.25</v>
      </c>
      <c r="E28" s="231">
        <v>15.07</v>
      </c>
      <c r="F28" s="231">
        <v>22.58</v>
      </c>
      <c r="G28" s="231">
        <v>25.36</v>
      </c>
      <c r="H28" s="232"/>
      <c r="I28" s="231">
        <f t="shared" si="13"/>
        <v>0</v>
      </c>
      <c r="J28" s="231">
        <f t="shared" si="13"/>
        <v>0</v>
      </c>
      <c r="K28" s="231">
        <f t="shared" si="13"/>
        <v>1.44</v>
      </c>
      <c r="L28" s="231">
        <f>ROUNDDOWN(E28*1.154,2)</f>
        <v>17.39</v>
      </c>
      <c r="M28" s="231">
        <f>ROUND(F28*1.154,2)</f>
        <v>26.06</v>
      </c>
      <c r="N28" s="231">
        <f>ROUND(G28*1.154,2)</f>
        <v>29.27</v>
      </c>
      <c r="O28" s="232"/>
      <c r="P28" s="231">
        <f>ROUND(B28*5.89,2)</f>
        <v>0</v>
      </c>
      <c r="Q28" s="231">
        <f>ROUND(C28*5.89,2)</f>
        <v>0</v>
      </c>
      <c r="R28" s="231">
        <f>ROUND(D28*5.89,2)</f>
        <v>7.36</v>
      </c>
      <c r="S28" s="231">
        <f>ROUND(E28*5.89,2)</f>
        <v>88.76</v>
      </c>
      <c r="T28" s="231">
        <f>ROUNDDOWN(F28*5.89,2)</f>
        <v>132.99</v>
      </c>
      <c r="U28" s="231">
        <f>ROUND(G28*5.89,2)</f>
        <v>149.37</v>
      </c>
    </row>
    <row r="29" spans="1:21" ht="15" customHeight="1">
      <c r="A29" s="144" t="s">
        <v>675</v>
      </c>
      <c r="B29" s="167"/>
      <c r="C29" s="167"/>
      <c r="D29" s="167"/>
      <c r="E29" s="167"/>
      <c r="F29" s="167"/>
      <c r="G29" s="167"/>
      <c r="H29" s="168"/>
      <c r="I29" s="167"/>
      <c r="J29" s="167"/>
      <c r="K29" s="167"/>
      <c r="L29" s="167"/>
      <c r="M29" s="167"/>
      <c r="N29" s="167"/>
      <c r="O29" s="168"/>
      <c r="P29" s="167"/>
      <c r="Q29" s="167"/>
      <c r="R29" s="167"/>
      <c r="S29" s="167"/>
      <c r="T29" s="167"/>
      <c r="U29" s="167"/>
    </row>
    <row r="30" spans="1:21">
      <c r="A30" s="42" t="s">
        <v>678</v>
      </c>
      <c r="B30" s="176">
        <v>148.09</v>
      </c>
      <c r="C30" s="176">
        <v>148.71</v>
      </c>
      <c r="D30" s="176">
        <v>147.93</v>
      </c>
      <c r="E30" s="176">
        <v>151.09</v>
      </c>
      <c r="F30" s="176">
        <v>123.46</v>
      </c>
      <c r="G30" s="176">
        <v>144.26</v>
      </c>
      <c r="H30" s="168">
        <f>H6+H12+H18+H24</f>
        <v>0</v>
      </c>
      <c r="I30" s="176">
        <f t="shared" ref="I30:N33" si="14">SUM(I6,I12,I18,I24)</f>
        <v>170.9</v>
      </c>
      <c r="J30" s="176">
        <f t="shared" si="14"/>
        <v>171.61</v>
      </c>
      <c r="K30" s="176">
        <f t="shared" si="14"/>
        <v>170.71</v>
      </c>
      <c r="L30" s="176">
        <f t="shared" si="14"/>
        <v>174.36</v>
      </c>
      <c r="M30" s="176">
        <f t="shared" si="14"/>
        <v>142.47999999999999</v>
      </c>
      <c r="N30" s="176">
        <f t="shared" si="14"/>
        <v>166.47999999999996</v>
      </c>
      <c r="O30" s="229"/>
      <c r="P30" s="176">
        <f t="shared" ref="P30:U33" si="15">SUM(P6,P12,P18,P24)</f>
        <v>872.24</v>
      </c>
      <c r="Q30" s="176">
        <f t="shared" si="15"/>
        <v>875.91</v>
      </c>
      <c r="R30" s="176">
        <f t="shared" si="15"/>
        <v>871.31</v>
      </c>
      <c r="S30" s="176">
        <f t="shared" si="15"/>
        <v>889.92</v>
      </c>
      <c r="T30" s="176">
        <f t="shared" si="15"/>
        <v>727.18000000000006</v>
      </c>
      <c r="U30" s="176">
        <f t="shared" si="15"/>
        <v>849.68999999999994</v>
      </c>
    </row>
    <row r="31" spans="1:21">
      <c r="A31" s="42" t="s">
        <v>679</v>
      </c>
      <c r="B31" s="176">
        <v>134.16999999999999</v>
      </c>
      <c r="C31" s="176">
        <v>134.08000000000001</v>
      </c>
      <c r="D31" s="176">
        <v>132.55000000000001</v>
      </c>
      <c r="E31" s="176">
        <v>138.11000000000001</v>
      </c>
      <c r="F31" s="176">
        <v>92.91</v>
      </c>
      <c r="G31" s="176">
        <v>117.68</v>
      </c>
      <c r="H31" s="168">
        <f>H7+H13+H19+H25</f>
        <v>0</v>
      </c>
      <c r="I31" s="176">
        <f t="shared" si="14"/>
        <v>154.84</v>
      </c>
      <c r="J31" s="176">
        <f t="shared" si="14"/>
        <v>154.72999999999999</v>
      </c>
      <c r="K31" s="176">
        <f t="shared" si="14"/>
        <v>152.96999999999997</v>
      </c>
      <c r="L31" s="176">
        <f t="shared" si="14"/>
        <v>159.38</v>
      </c>
      <c r="M31" s="176">
        <f t="shared" si="14"/>
        <v>107.22</v>
      </c>
      <c r="N31" s="176">
        <f t="shared" si="14"/>
        <v>135.79</v>
      </c>
      <c r="O31" s="229"/>
      <c r="P31" s="176">
        <f t="shared" si="15"/>
        <v>790.27</v>
      </c>
      <c r="Q31" s="176">
        <f t="shared" si="15"/>
        <v>789.73</v>
      </c>
      <c r="R31" s="176">
        <f t="shared" si="15"/>
        <v>780.72</v>
      </c>
      <c r="S31" s="176">
        <f t="shared" si="15"/>
        <v>813.46</v>
      </c>
      <c r="T31" s="176">
        <f t="shared" si="15"/>
        <v>547.2399999999999</v>
      </c>
      <c r="U31" s="176">
        <f t="shared" si="15"/>
        <v>693.13</v>
      </c>
    </row>
    <row r="32" spans="1:21">
      <c r="A32" s="42" t="s">
        <v>680</v>
      </c>
      <c r="B32" s="176">
        <v>123.94</v>
      </c>
      <c r="C32" s="176">
        <v>127.07</v>
      </c>
      <c r="D32" s="176">
        <v>121.32</v>
      </c>
      <c r="E32" s="176">
        <v>122.46</v>
      </c>
      <c r="F32" s="176">
        <v>102.33</v>
      </c>
      <c r="G32" s="176">
        <v>103.68</v>
      </c>
      <c r="H32" s="168">
        <f>H8+H14+H20+H26</f>
        <v>0</v>
      </c>
      <c r="I32" s="176">
        <f t="shared" si="14"/>
        <v>143.02000000000001</v>
      </c>
      <c r="J32" s="176">
        <f t="shared" si="14"/>
        <v>146.64000000000001</v>
      </c>
      <c r="K32" s="176">
        <f t="shared" si="14"/>
        <v>140</v>
      </c>
      <c r="L32" s="176">
        <f t="shared" si="14"/>
        <v>141.32000000000002</v>
      </c>
      <c r="M32" s="176">
        <f t="shared" si="14"/>
        <v>118.08</v>
      </c>
      <c r="N32" s="176">
        <f t="shared" si="14"/>
        <v>119.65</v>
      </c>
      <c r="O32" s="229"/>
      <c r="P32" s="176">
        <f t="shared" si="15"/>
        <v>730.01</v>
      </c>
      <c r="Q32" s="176">
        <f t="shared" si="15"/>
        <v>748.44</v>
      </c>
      <c r="R32" s="176">
        <f t="shared" si="15"/>
        <v>714.58</v>
      </c>
      <c r="S32" s="176">
        <f t="shared" si="15"/>
        <v>721.30000000000007</v>
      </c>
      <c r="T32" s="176">
        <f t="shared" si="15"/>
        <v>602.72000000000014</v>
      </c>
      <c r="U32" s="176">
        <f t="shared" si="15"/>
        <v>610.68000000000006</v>
      </c>
    </row>
    <row r="33" spans="1:21">
      <c r="A33" s="42" t="s">
        <v>681</v>
      </c>
      <c r="B33" s="176">
        <v>148.80000000000001</v>
      </c>
      <c r="C33" s="176">
        <v>146.09</v>
      </c>
      <c r="D33" s="176">
        <v>146.75</v>
      </c>
      <c r="E33" s="176">
        <v>138.07</v>
      </c>
      <c r="F33" s="176">
        <v>142.82</v>
      </c>
      <c r="G33" s="176">
        <v>142.97</v>
      </c>
      <c r="H33" s="168">
        <f>H9+H15+H21+H27</f>
        <v>0</v>
      </c>
      <c r="I33" s="176">
        <f t="shared" si="14"/>
        <v>171.71</v>
      </c>
      <c r="J33" s="176">
        <f t="shared" si="14"/>
        <v>168.59</v>
      </c>
      <c r="K33" s="176">
        <f t="shared" si="14"/>
        <v>169.35</v>
      </c>
      <c r="L33" s="176">
        <f t="shared" si="14"/>
        <v>159.32999999999998</v>
      </c>
      <c r="M33" s="176">
        <f t="shared" si="14"/>
        <v>164.81</v>
      </c>
      <c r="N33" s="176">
        <f t="shared" si="14"/>
        <v>164.99</v>
      </c>
      <c r="O33" s="229"/>
      <c r="P33" s="176">
        <f t="shared" si="15"/>
        <v>876.43000000000006</v>
      </c>
      <c r="Q33" s="176">
        <f t="shared" si="15"/>
        <v>860.46999999999991</v>
      </c>
      <c r="R33" s="176">
        <f t="shared" si="15"/>
        <v>864.35</v>
      </c>
      <c r="S33" s="176">
        <f t="shared" si="15"/>
        <v>813.23</v>
      </c>
      <c r="T33" s="176">
        <f t="shared" si="15"/>
        <v>841.21</v>
      </c>
      <c r="U33" s="176">
        <f t="shared" si="15"/>
        <v>842.09999999999991</v>
      </c>
    </row>
    <row r="34" spans="1:21" ht="13.8" thickBot="1">
      <c r="A34" s="234" t="s">
        <v>672</v>
      </c>
      <c r="B34" s="235">
        <v>555</v>
      </c>
      <c r="C34" s="235">
        <v>555.95000000000005</v>
      </c>
      <c r="D34" s="235">
        <v>548.54999999999995</v>
      </c>
      <c r="E34" s="235">
        <v>549.73</v>
      </c>
      <c r="F34" s="235">
        <v>461.52</v>
      </c>
      <c r="G34" s="235">
        <v>508.59</v>
      </c>
      <c r="H34" s="166">
        <f>H10+H16+H22+H28</f>
        <v>0</v>
      </c>
      <c r="I34" s="235">
        <f t="shared" ref="I34:N34" si="16">ROUND(B34*1.154,2)</f>
        <v>640.47</v>
      </c>
      <c r="J34" s="235">
        <f t="shared" si="16"/>
        <v>641.57000000000005</v>
      </c>
      <c r="K34" s="235">
        <f t="shared" si="16"/>
        <v>633.03</v>
      </c>
      <c r="L34" s="235">
        <f t="shared" si="16"/>
        <v>634.39</v>
      </c>
      <c r="M34" s="235">
        <f t="shared" si="16"/>
        <v>532.59</v>
      </c>
      <c r="N34" s="235">
        <f t="shared" si="16"/>
        <v>586.91</v>
      </c>
      <c r="O34" s="232"/>
      <c r="P34" s="235">
        <f t="shared" ref="P34:U34" si="17">ROUND(B34*5.89,2)</f>
        <v>3268.95</v>
      </c>
      <c r="Q34" s="235">
        <f t="shared" si="17"/>
        <v>3274.55</v>
      </c>
      <c r="R34" s="235">
        <f t="shared" si="17"/>
        <v>3230.96</v>
      </c>
      <c r="S34" s="235">
        <f t="shared" si="17"/>
        <v>3237.91</v>
      </c>
      <c r="T34" s="235">
        <f t="shared" si="17"/>
        <v>2718.35</v>
      </c>
      <c r="U34" s="235">
        <f t="shared" si="17"/>
        <v>2995.6</v>
      </c>
    </row>
    <row r="35" spans="1:21" ht="13.8" thickTop="1">
      <c r="A35" s="532" t="s">
        <v>1115</v>
      </c>
      <c r="B35" s="532"/>
      <c r="C35" s="532"/>
      <c r="D35" s="532"/>
      <c r="E35" s="532"/>
      <c r="F35" s="532"/>
      <c r="G35" s="532"/>
      <c r="H35" s="532"/>
      <c r="I35" s="532"/>
      <c r="J35" s="532"/>
      <c r="K35" s="532"/>
      <c r="L35" s="532"/>
      <c r="M35" s="532"/>
      <c r="N35" s="532"/>
      <c r="O35" s="532"/>
      <c r="P35" s="532"/>
      <c r="Q35" s="532"/>
      <c r="R35" s="532"/>
      <c r="S35" s="532"/>
      <c r="T35" s="532"/>
      <c r="U35" s="74"/>
    </row>
    <row r="36" spans="1:21">
      <c r="A36" s="534"/>
      <c r="B36" s="534"/>
      <c r="C36" s="534"/>
      <c r="D36" s="534"/>
      <c r="E36" s="534"/>
      <c r="F36" s="534"/>
      <c r="G36" s="534"/>
      <c r="H36" s="534"/>
      <c r="I36" s="534"/>
      <c r="J36" s="534"/>
      <c r="K36" s="534"/>
      <c r="L36" s="534"/>
      <c r="M36" s="534"/>
      <c r="N36" s="534"/>
      <c r="O36" s="534"/>
      <c r="P36" s="534"/>
      <c r="Q36" s="534"/>
      <c r="R36" s="534"/>
      <c r="S36" s="534"/>
      <c r="T36" s="534"/>
      <c r="U36" s="97"/>
    </row>
    <row r="37" spans="1:21">
      <c r="A37" s="530" t="s">
        <v>213</v>
      </c>
      <c r="B37" s="530"/>
      <c r="C37" s="530"/>
      <c r="D37" s="530"/>
      <c r="E37" s="530"/>
      <c r="F37" s="530"/>
      <c r="G37" s="530"/>
      <c r="H37" s="530"/>
    </row>
    <row r="38" spans="1:21" hidden="1"/>
    <row r="39" spans="1:21" hidden="1"/>
    <row r="40" spans="1:21" hidden="1"/>
    <row r="41" spans="1:21" hidden="1"/>
    <row r="42" spans="1:21" hidden="1"/>
  </sheetData>
  <sheetProtection password="CAF1" sheet="1" formatCells="0" formatColumns="0" formatRows="0" insertColumns="0" insertRows="0" insertHyperlinks="0" deleteColumns="0" deleteRows="0" sort="0" autoFilter="0" pivotTables="0"/>
  <mergeCells count="9">
    <mergeCell ref="I2:N2"/>
    <mergeCell ref="P2:U2"/>
    <mergeCell ref="A37:H37"/>
    <mergeCell ref="A36:T36"/>
    <mergeCell ref="A35:T35"/>
    <mergeCell ref="B4:G4"/>
    <mergeCell ref="I4:N4"/>
    <mergeCell ref="P4:U4"/>
    <mergeCell ref="B2:G2"/>
  </mergeCells>
  <phoneticPr fontId="24" type="noConversion"/>
  <hyperlinks>
    <hyperlink ref="A37:H37"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worksheet>
</file>

<file path=xl/worksheets/sheet14.xml><?xml version="1.0" encoding="utf-8"?>
<worksheet xmlns="http://schemas.openxmlformats.org/spreadsheetml/2006/main" xmlns:r="http://schemas.openxmlformats.org/officeDocument/2006/relationships">
  <dimension ref="A1:U46"/>
  <sheetViews>
    <sheetView zoomScaleNormal="100" zoomScaleSheetLayoutView="100" workbookViewId="0"/>
  </sheetViews>
  <sheetFormatPr defaultColWidth="0" defaultRowHeight="13.2" zeroHeight="1" outlineLevelCol="1"/>
  <cols>
    <col min="1" max="1" width="33.109375" style="2" customWidth="1"/>
    <col min="2" max="2" width="7.33203125" style="2" hidden="1" customWidth="1" outlineLevel="1"/>
    <col min="3" max="3" width="7.33203125" style="2" customWidth="1" collapsed="1"/>
    <col min="4" max="7" width="7.33203125" style="2" customWidth="1"/>
    <col min="8" max="8" width="1.33203125" style="4" customWidth="1"/>
    <col min="9" max="9" width="7.33203125" style="2" hidden="1" customWidth="1" outlineLevel="1"/>
    <col min="10" max="10" width="7.33203125" style="2" customWidth="1" collapsed="1"/>
    <col min="11" max="14" width="7.33203125" style="2" customWidth="1"/>
    <col min="15" max="15" width="1.33203125" style="4" customWidth="1"/>
    <col min="16" max="16" width="7.33203125" style="2" hidden="1" customWidth="1" outlineLevel="1"/>
    <col min="17" max="17" width="7.33203125" style="2" customWidth="1" collapsed="1"/>
    <col min="18" max="21" width="7.33203125" style="2" customWidth="1"/>
    <col min="22" max="16384" width="0" style="2" hidden="1"/>
  </cols>
  <sheetData>
    <row r="1" spans="1:21" ht="15.6">
      <c r="A1" s="48" t="s">
        <v>676</v>
      </c>
      <c r="B1" s="28"/>
      <c r="C1" s="28"/>
      <c r="D1" s="28"/>
      <c r="E1" s="28"/>
      <c r="F1" s="28"/>
      <c r="G1" s="28"/>
      <c r="H1" s="49"/>
      <c r="I1" s="28"/>
      <c r="J1" s="28"/>
      <c r="K1" s="28"/>
      <c r="L1" s="28"/>
      <c r="M1" s="28"/>
      <c r="N1" s="28"/>
      <c r="O1" s="49"/>
      <c r="P1" s="28"/>
      <c r="Q1" s="28"/>
      <c r="R1" s="28"/>
      <c r="S1" s="28"/>
      <c r="T1" s="28"/>
      <c r="U1" s="28"/>
    </row>
    <row r="2" spans="1:21" ht="12.75" customHeight="1">
      <c r="A2" s="227"/>
      <c r="B2" s="531" t="s">
        <v>671</v>
      </c>
      <c r="C2" s="531"/>
      <c r="D2" s="531"/>
      <c r="E2" s="531"/>
      <c r="F2" s="531"/>
      <c r="G2" s="531"/>
      <c r="H2" s="130"/>
      <c r="I2" s="531" t="s">
        <v>671</v>
      </c>
      <c r="J2" s="531"/>
      <c r="K2" s="531"/>
      <c r="L2" s="531"/>
      <c r="M2" s="531"/>
      <c r="N2" s="531"/>
      <c r="O2" s="130"/>
      <c r="P2" s="531" t="s">
        <v>671</v>
      </c>
      <c r="Q2" s="531"/>
      <c r="R2" s="531"/>
      <c r="S2" s="531"/>
      <c r="T2" s="531"/>
      <c r="U2" s="531"/>
    </row>
    <row r="3" spans="1:21">
      <c r="A3" s="227"/>
      <c r="B3" s="30">
        <v>2005</v>
      </c>
      <c r="C3" s="30">
        <v>2006</v>
      </c>
      <c r="D3" s="30">
        <v>2007</v>
      </c>
      <c r="E3" s="30">
        <v>2008</v>
      </c>
      <c r="F3" s="51">
        <v>2009</v>
      </c>
      <c r="G3" s="51">
        <v>2010</v>
      </c>
      <c r="H3" s="129"/>
      <c r="I3" s="30">
        <v>2005</v>
      </c>
      <c r="J3" s="30">
        <v>2006</v>
      </c>
      <c r="K3" s="30">
        <v>2007</v>
      </c>
      <c r="L3" s="30">
        <v>2008</v>
      </c>
      <c r="M3" s="30">
        <v>2009</v>
      </c>
      <c r="N3" s="30">
        <v>2010</v>
      </c>
      <c r="O3" s="129"/>
      <c r="P3" s="30">
        <v>2005</v>
      </c>
      <c r="Q3" s="30">
        <v>2006</v>
      </c>
      <c r="R3" s="30">
        <v>2007</v>
      </c>
      <c r="S3" s="30">
        <v>2008</v>
      </c>
      <c r="T3" s="30">
        <v>2009</v>
      </c>
      <c r="U3" s="30">
        <v>2010</v>
      </c>
    </row>
    <row r="4" spans="1:21" ht="12.75" customHeight="1">
      <c r="A4" s="76"/>
      <c r="B4" s="531" t="s">
        <v>336</v>
      </c>
      <c r="C4" s="531"/>
      <c r="D4" s="531"/>
      <c r="E4" s="531"/>
      <c r="F4" s="531"/>
      <c r="G4" s="531"/>
      <c r="H4" s="130"/>
      <c r="I4" s="531" t="s">
        <v>322</v>
      </c>
      <c r="J4" s="531"/>
      <c r="K4" s="531"/>
      <c r="L4" s="531"/>
      <c r="M4" s="531"/>
      <c r="N4" s="531"/>
      <c r="O4" s="130"/>
      <c r="P4" s="531" t="s">
        <v>323</v>
      </c>
      <c r="Q4" s="531"/>
      <c r="R4" s="531"/>
      <c r="S4" s="531"/>
      <c r="T4" s="531"/>
      <c r="U4" s="531"/>
    </row>
    <row r="5" spans="1:21" ht="35.4" customHeight="1">
      <c r="A5" s="144" t="s">
        <v>324</v>
      </c>
      <c r="B5" s="108"/>
      <c r="C5" s="108"/>
      <c r="D5" s="108"/>
      <c r="E5" s="108"/>
      <c r="F5" s="108"/>
      <c r="G5" s="108"/>
      <c r="H5" s="109"/>
      <c r="I5" s="108"/>
      <c r="J5" s="108"/>
      <c r="K5" s="108"/>
      <c r="L5" s="108"/>
      <c r="M5" s="108"/>
      <c r="N5" s="108"/>
      <c r="O5" s="109"/>
      <c r="P5" s="108"/>
      <c r="Q5" s="108"/>
      <c r="R5" s="108"/>
      <c r="S5" s="108"/>
      <c r="T5" s="108"/>
      <c r="U5" s="108"/>
    </row>
    <row r="6" spans="1:21">
      <c r="A6" s="42" t="s">
        <v>678</v>
      </c>
      <c r="B6" s="60">
        <v>2.9</v>
      </c>
      <c r="C6" s="60">
        <v>2.86</v>
      </c>
      <c r="D6" s="60">
        <v>2.86</v>
      </c>
      <c r="E6" s="60">
        <v>2.84</v>
      </c>
      <c r="F6" s="60">
        <v>2.34</v>
      </c>
      <c r="G6" s="60">
        <v>2.82</v>
      </c>
      <c r="H6" s="67"/>
      <c r="I6" s="60">
        <f>ROUND(B6*1.43,2)</f>
        <v>4.1500000000000004</v>
      </c>
      <c r="J6" s="60">
        <f>ROUND(C6*1.43,2)</f>
        <v>4.09</v>
      </c>
      <c r="K6" s="60">
        <f t="shared" ref="K6:L10" si="0">ROUND(D6*1.43,2)</f>
        <v>4.09</v>
      </c>
      <c r="L6" s="60">
        <f t="shared" si="0"/>
        <v>4.0599999999999996</v>
      </c>
      <c r="M6" s="60">
        <f>ROUNDDOWN(F6*1.43,2)</f>
        <v>3.34</v>
      </c>
      <c r="N6" s="60">
        <f>ROUNDDOWN(G6*1.43,2)</f>
        <v>4.03</v>
      </c>
      <c r="O6" s="67"/>
      <c r="P6" s="60">
        <f>ROUNDUP(B6*8.18,2)</f>
        <v>23.73</v>
      </c>
      <c r="Q6" s="60">
        <f>ROUNDUP(C6*8.18,2)</f>
        <v>23.400000000000002</v>
      </c>
      <c r="R6" s="60">
        <f>ROUNDUP(D6*8.18,2)</f>
        <v>23.400000000000002</v>
      </c>
      <c r="S6" s="60">
        <f>ROUNDUP(E6*8.18,2)</f>
        <v>23.240000000000002</v>
      </c>
      <c r="T6" s="60">
        <f t="shared" ref="T6:U10" si="1">ROUND(F6*8.18,2)</f>
        <v>19.14</v>
      </c>
      <c r="U6" s="60">
        <f t="shared" si="1"/>
        <v>23.07</v>
      </c>
    </row>
    <row r="7" spans="1:21">
      <c r="A7" s="42" t="s">
        <v>679</v>
      </c>
      <c r="B7" s="60">
        <v>2.86</v>
      </c>
      <c r="C7" s="60">
        <v>2.84</v>
      </c>
      <c r="D7" s="60">
        <v>2.8</v>
      </c>
      <c r="E7" s="60">
        <v>2.69</v>
      </c>
      <c r="F7" s="60">
        <v>2.5099999999999998</v>
      </c>
      <c r="G7" s="60">
        <v>2.78</v>
      </c>
      <c r="H7" s="67"/>
      <c r="I7" s="60">
        <f>ROUND(B7*1.43,2)</f>
        <v>4.09</v>
      </c>
      <c r="J7" s="60">
        <f>ROUND(C7*1.43,2)</f>
        <v>4.0599999999999996</v>
      </c>
      <c r="K7" s="60">
        <f t="shared" si="0"/>
        <v>4</v>
      </c>
      <c r="L7" s="60">
        <f t="shared" si="0"/>
        <v>3.85</v>
      </c>
      <c r="M7" s="60">
        <f>ROUND(F7*1.43,2)</f>
        <v>3.59</v>
      </c>
      <c r="N7" s="60">
        <f>ROUND(G7*1.43,2)</f>
        <v>3.98</v>
      </c>
      <c r="O7" s="67"/>
      <c r="P7" s="60">
        <f t="shared" ref="P7:S10" si="2">ROUND(B7*8.18,2)</f>
        <v>23.39</v>
      </c>
      <c r="Q7" s="60">
        <f t="shared" si="2"/>
        <v>23.23</v>
      </c>
      <c r="R7" s="60">
        <f t="shared" si="2"/>
        <v>22.9</v>
      </c>
      <c r="S7" s="60">
        <f t="shared" si="2"/>
        <v>22</v>
      </c>
      <c r="T7" s="60">
        <f t="shared" si="1"/>
        <v>20.53</v>
      </c>
      <c r="U7" s="60">
        <f t="shared" si="1"/>
        <v>22.74</v>
      </c>
    </row>
    <row r="8" spans="1:21">
      <c r="A8" s="42" t="s">
        <v>680</v>
      </c>
      <c r="B8" s="60">
        <v>2.8</v>
      </c>
      <c r="C8" s="60">
        <v>2.77</v>
      </c>
      <c r="D8" s="60">
        <v>2.78</v>
      </c>
      <c r="E8" s="60">
        <v>2.67</v>
      </c>
      <c r="F8" s="60">
        <v>2.5</v>
      </c>
      <c r="G8" s="60">
        <v>2.79</v>
      </c>
      <c r="H8" s="67"/>
      <c r="I8" s="60">
        <f>ROUNDUP(B8*1.43,2)</f>
        <v>4.01</v>
      </c>
      <c r="J8" s="60">
        <f>ROUND(C8*1.43,2)</f>
        <v>3.96</v>
      </c>
      <c r="K8" s="60">
        <f t="shared" si="0"/>
        <v>3.98</v>
      </c>
      <c r="L8" s="60">
        <f t="shared" si="0"/>
        <v>3.82</v>
      </c>
      <c r="M8" s="60">
        <f>ROUND(F8*1.43,2)</f>
        <v>3.58</v>
      </c>
      <c r="N8" s="60">
        <f>ROUND(G8*1.43,2)</f>
        <v>3.99</v>
      </c>
      <c r="O8" s="67"/>
      <c r="P8" s="60">
        <f t="shared" si="2"/>
        <v>22.9</v>
      </c>
      <c r="Q8" s="60">
        <f t="shared" si="2"/>
        <v>22.66</v>
      </c>
      <c r="R8" s="60">
        <f t="shared" si="2"/>
        <v>22.74</v>
      </c>
      <c r="S8" s="60">
        <f t="shared" si="2"/>
        <v>21.84</v>
      </c>
      <c r="T8" s="60">
        <f t="shared" si="1"/>
        <v>20.45</v>
      </c>
      <c r="U8" s="60">
        <f t="shared" si="1"/>
        <v>22.82</v>
      </c>
    </row>
    <row r="9" spans="1:21">
      <c r="A9" s="42" t="s">
        <v>681</v>
      </c>
      <c r="B9" s="60">
        <v>2.94</v>
      </c>
      <c r="C9" s="60">
        <v>2.9</v>
      </c>
      <c r="D9" s="60">
        <v>2.83</v>
      </c>
      <c r="E9" s="60">
        <v>2.73</v>
      </c>
      <c r="F9" s="60">
        <v>2.72</v>
      </c>
      <c r="G9" s="60">
        <v>2.9</v>
      </c>
      <c r="H9" s="67"/>
      <c r="I9" s="60">
        <f>ROUND(B9*1.43,2)</f>
        <v>4.2</v>
      </c>
      <c r="J9" s="60">
        <f>ROUND(C9*1.43,2)</f>
        <v>4.1500000000000004</v>
      </c>
      <c r="K9" s="60">
        <f t="shared" si="0"/>
        <v>4.05</v>
      </c>
      <c r="L9" s="60">
        <f t="shared" si="0"/>
        <v>3.9</v>
      </c>
      <c r="M9" s="60">
        <f>ROUND(F9*1.43,2)</f>
        <v>3.89</v>
      </c>
      <c r="N9" s="60">
        <f>ROUNDDOWN(G9*1.43,2)</f>
        <v>4.1399999999999997</v>
      </c>
      <c r="O9" s="67"/>
      <c r="P9" s="60">
        <f t="shared" si="2"/>
        <v>24.05</v>
      </c>
      <c r="Q9" s="60">
        <f t="shared" si="2"/>
        <v>23.72</v>
      </c>
      <c r="R9" s="60">
        <f t="shared" si="2"/>
        <v>23.15</v>
      </c>
      <c r="S9" s="60">
        <f t="shared" si="2"/>
        <v>22.33</v>
      </c>
      <c r="T9" s="60">
        <f t="shared" si="1"/>
        <v>22.25</v>
      </c>
      <c r="U9" s="60">
        <f t="shared" si="1"/>
        <v>23.72</v>
      </c>
    </row>
    <row r="10" spans="1:21" ht="13.8" thickBot="1">
      <c r="A10" s="230" t="s">
        <v>672</v>
      </c>
      <c r="B10" s="238">
        <v>11.5</v>
      </c>
      <c r="C10" s="238">
        <v>11.37</v>
      </c>
      <c r="D10" s="238">
        <v>11.27</v>
      </c>
      <c r="E10" s="238">
        <v>10.93</v>
      </c>
      <c r="F10" s="238">
        <v>10.07</v>
      </c>
      <c r="G10" s="238">
        <v>11.29</v>
      </c>
      <c r="H10" s="239"/>
      <c r="I10" s="238">
        <f>ROUND(B10*1.43,2)</f>
        <v>16.45</v>
      </c>
      <c r="J10" s="238">
        <f>ROUND(C10*1.43,2)</f>
        <v>16.260000000000002</v>
      </c>
      <c r="K10" s="238">
        <f t="shared" si="0"/>
        <v>16.12</v>
      </c>
      <c r="L10" s="238">
        <f t="shared" si="0"/>
        <v>15.63</v>
      </c>
      <c r="M10" s="238">
        <f>ROUND(F10*1.43,2)</f>
        <v>14.4</v>
      </c>
      <c r="N10" s="238">
        <f>ROUND(G10*1.43,2)</f>
        <v>16.14</v>
      </c>
      <c r="O10" s="239"/>
      <c r="P10" s="238">
        <f t="shared" si="2"/>
        <v>94.07</v>
      </c>
      <c r="Q10" s="238">
        <f t="shared" si="2"/>
        <v>93.01</v>
      </c>
      <c r="R10" s="238">
        <f t="shared" si="2"/>
        <v>92.19</v>
      </c>
      <c r="S10" s="238">
        <f t="shared" si="2"/>
        <v>89.41</v>
      </c>
      <c r="T10" s="238">
        <f t="shared" si="1"/>
        <v>82.37</v>
      </c>
      <c r="U10" s="238">
        <f t="shared" si="1"/>
        <v>92.35</v>
      </c>
    </row>
    <row r="11" spans="1:21" ht="23.4" customHeight="1">
      <c r="A11" s="144" t="s">
        <v>675</v>
      </c>
      <c r="B11" s="109"/>
      <c r="C11" s="109"/>
      <c r="D11" s="109"/>
      <c r="E11" s="109"/>
      <c r="F11" s="109"/>
      <c r="G11" s="109"/>
      <c r="H11" s="109"/>
      <c r="I11" s="109"/>
      <c r="J11" s="109"/>
      <c r="K11" s="109"/>
      <c r="L11" s="109"/>
      <c r="M11" s="109"/>
      <c r="N11" s="109"/>
      <c r="O11" s="109"/>
      <c r="P11" s="109"/>
      <c r="Q11" s="109"/>
      <c r="R11" s="109"/>
      <c r="S11" s="109"/>
      <c r="T11" s="109"/>
      <c r="U11" s="109"/>
    </row>
    <row r="12" spans="1:21">
      <c r="A12" s="42" t="s">
        <v>678</v>
      </c>
      <c r="B12" s="60">
        <f>B6</f>
        <v>2.9</v>
      </c>
      <c r="C12" s="60">
        <f>C6</f>
        <v>2.86</v>
      </c>
      <c r="D12" s="60">
        <f>D6</f>
        <v>2.86</v>
      </c>
      <c r="E12" s="60">
        <f>E6</f>
        <v>2.84</v>
      </c>
      <c r="F12" s="60">
        <f>F6</f>
        <v>2.34</v>
      </c>
      <c r="G12" s="60">
        <v>2.82</v>
      </c>
      <c r="H12" s="67"/>
      <c r="I12" s="60">
        <f t="shared" ref="I12:M16" si="3">I6</f>
        <v>4.1500000000000004</v>
      </c>
      <c r="J12" s="60">
        <f t="shared" si="3"/>
        <v>4.09</v>
      </c>
      <c r="K12" s="60">
        <f t="shared" si="3"/>
        <v>4.09</v>
      </c>
      <c r="L12" s="60">
        <f t="shared" si="3"/>
        <v>4.0599999999999996</v>
      </c>
      <c r="M12" s="60">
        <f t="shared" si="3"/>
        <v>3.34</v>
      </c>
      <c r="N12" s="60">
        <f>N6</f>
        <v>4.03</v>
      </c>
      <c r="O12" s="67"/>
      <c r="P12" s="60">
        <f t="shared" ref="P12:T16" si="4">P6</f>
        <v>23.73</v>
      </c>
      <c r="Q12" s="60">
        <f t="shared" si="4"/>
        <v>23.400000000000002</v>
      </c>
      <c r="R12" s="60">
        <f t="shared" si="4"/>
        <v>23.400000000000002</v>
      </c>
      <c r="S12" s="60">
        <f t="shared" si="4"/>
        <v>23.240000000000002</v>
      </c>
      <c r="T12" s="60">
        <f t="shared" si="4"/>
        <v>19.14</v>
      </c>
      <c r="U12" s="60">
        <f>U6</f>
        <v>23.07</v>
      </c>
    </row>
    <row r="13" spans="1:21">
      <c r="A13" s="42" t="s">
        <v>679</v>
      </c>
      <c r="B13" s="60">
        <f t="shared" ref="B13:F16" si="5">B7</f>
        <v>2.86</v>
      </c>
      <c r="C13" s="60">
        <f t="shared" si="5"/>
        <v>2.84</v>
      </c>
      <c r="D13" s="60">
        <f t="shared" si="5"/>
        <v>2.8</v>
      </c>
      <c r="E13" s="60">
        <f t="shared" si="5"/>
        <v>2.69</v>
      </c>
      <c r="F13" s="60">
        <f t="shared" si="5"/>
        <v>2.5099999999999998</v>
      </c>
      <c r="G13" s="60">
        <v>2.78</v>
      </c>
      <c r="H13" s="67"/>
      <c r="I13" s="60">
        <f t="shared" si="3"/>
        <v>4.09</v>
      </c>
      <c r="J13" s="60">
        <f t="shared" si="3"/>
        <v>4.0599999999999996</v>
      </c>
      <c r="K13" s="60">
        <f t="shared" si="3"/>
        <v>4</v>
      </c>
      <c r="L13" s="60">
        <f t="shared" si="3"/>
        <v>3.85</v>
      </c>
      <c r="M13" s="60">
        <f t="shared" si="3"/>
        <v>3.59</v>
      </c>
      <c r="N13" s="60">
        <f>N7</f>
        <v>3.98</v>
      </c>
      <c r="O13" s="67"/>
      <c r="P13" s="60">
        <f t="shared" si="4"/>
        <v>23.39</v>
      </c>
      <c r="Q13" s="60">
        <f t="shared" si="4"/>
        <v>23.23</v>
      </c>
      <c r="R13" s="60">
        <f t="shared" si="4"/>
        <v>22.9</v>
      </c>
      <c r="S13" s="60">
        <f t="shared" si="4"/>
        <v>22</v>
      </c>
      <c r="T13" s="60">
        <f t="shared" si="4"/>
        <v>20.53</v>
      </c>
      <c r="U13" s="60">
        <f>U7</f>
        <v>22.74</v>
      </c>
    </row>
    <row r="14" spans="1:21">
      <c r="A14" s="42" t="s">
        <v>680</v>
      </c>
      <c r="B14" s="60">
        <f t="shared" si="5"/>
        <v>2.8</v>
      </c>
      <c r="C14" s="60">
        <f t="shared" si="5"/>
        <v>2.77</v>
      </c>
      <c r="D14" s="60">
        <f t="shared" si="5"/>
        <v>2.78</v>
      </c>
      <c r="E14" s="60">
        <f t="shared" si="5"/>
        <v>2.67</v>
      </c>
      <c r="F14" s="60">
        <f t="shared" si="5"/>
        <v>2.5</v>
      </c>
      <c r="G14" s="60">
        <v>2.79</v>
      </c>
      <c r="H14" s="67"/>
      <c r="I14" s="60">
        <f t="shared" si="3"/>
        <v>4.01</v>
      </c>
      <c r="J14" s="60">
        <f t="shared" si="3"/>
        <v>3.96</v>
      </c>
      <c r="K14" s="60">
        <f t="shared" si="3"/>
        <v>3.98</v>
      </c>
      <c r="L14" s="60">
        <f t="shared" si="3"/>
        <v>3.82</v>
      </c>
      <c r="M14" s="60">
        <f t="shared" si="3"/>
        <v>3.58</v>
      </c>
      <c r="N14" s="60">
        <f>N8</f>
        <v>3.99</v>
      </c>
      <c r="O14" s="67"/>
      <c r="P14" s="60">
        <f t="shared" si="4"/>
        <v>22.9</v>
      </c>
      <c r="Q14" s="60">
        <f t="shared" si="4"/>
        <v>22.66</v>
      </c>
      <c r="R14" s="60">
        <f t="shared" si="4"/>
        <v>22.74</v>
      </c>
      <c r="S14" s="60">
        <f t="shared" si="4"/>
        <v>21.84</v>
      </c>
      <c r="T14" s="60">
        <f t="shared" si="4"/>
        <v>20.45</v>
      </c>
      <c r="U14" s="60">
        <f>U8</f>
        <v>22.82</v>
      </c>
    </row>
    <row r="15" spans="1:21">
      <c r="A15" s="42" t="s">
        <v>681</v>
      </c>
      <c r="B15" s="60">
        <f t="shared" si="5"/>
        <v>2.94</v>
      </c>
      <c r="C15" s="60">
        <f t="shared" si="5"/>
        <v>2.9</v>
      </c>
      <c r="D15" s="60">
        <f t="shared" si="5"/>
        <v>2.83</v>
      </c>
      <c r="E15" s="60">
        <f t="shared" si="5"/>
        <v>2.73</v>
      </c>
      <c r="F15" s="60">
        <f t="shared" si="5"/>
        <v>2.72</v>
      </c>
      <c r="G15" s="60">
        <v>2.9</v>
      </c>
      <c r="H15" s="67"/>
      <c r="I15" s="60">
        <f t="shared" si="3"/>
        <v>4.2</v>
      </c>
      <c r="J15" s="60">
        <f t="shared" si="3"/>
        <v>4.1500000000000004</v>
      </c>
      <c r="K15" s="60">
        <f t="shared" si="3"/>
        <v>4.05</v>
      </c>
      <c r="L15" s="60">
        <f t="shared" si="3"/>
        <v>3.9</v>
      </c>
      <c r="M15" s="60">
        <f t="shared" si="3"/>
        <v>3.89</v>
      </c>
      <c r="N15" s="60">
        <f>N9</f>
        <v>4.1399999999999997</v>
      </c>
      <c r="O15" s="67"/>
      <c r="P15" s="60">
        <f t="shared" si="4"/>
        <v>24.05</v>
      </c>
      <c r="Q15" s="60">
        <f t="shared" si="4"/>
        <v>23.72</v>
      </c>
      <c r="R15" s="60">
        <f t="shared" si="4"/>
        <v>23.15</v>
      </c>
      <c r="S15" s="60">
        <f t="shared" si="4"/>
        <v>22.33</v>
      </c>
      <c r="T15" s="60">
        <f t="shared" si="4"/>
        <v>22.25</v>
      </c>
      <c r="U15" s="60">
        <f>U9</f>
        <v>23.72</v>
      </c>
    </row>
    <row r="16" spans="1:21" ht="13.8" thickBot="1">
      <c r="A16" s="234" t="s">
        <v>672</v>
      </c>
      <c r="B16" s="240">
        <f t="shared" si="5"/>
        <v>11.5</v>
      </c>
      <c r="C16" s="240">
        <f t="shared" si="5"/>
        <v>11.37</v>
      </c>
      <c r="D16" s="240">
        <f t="shared" si="5"/>
        <v>11.27</v>
      </c>
      <c r="E16" s="240">
        <f t="shared" si="5"/>
        <v>10.93</v>
      </c>
      <c r="F16" s="240">
        <f t="shared" si="5"/>
        <v>10.07</v>
      </c>
      <c r="G16" s="240">
        <v>11.29</v>
      </c>
      <c r="H16" s="239"/>
      <c r="I16" s="240">
        <f t="shared" si="3"/>
        <v>16.45</v>
      </c>
      <c r="J16" s="240">
        <f t="shared" si="3"/>
        <v>16.260000000000002</v>
      </c>
      <c r="K16" s="240">
        <f t="shared" si="3"/>
        <v>16.12</v>
      </c>
      <c r="L16" s="240">
        <f t="shared" si="3"/>
        <v>15.63</v>
      </c>
      <c r="M16" s="240">
        <f t="shared" si="3"/>
        <v>14.4</v>
      </c>
      <c r="N16" s="240">
        <f>N10</f>
        <v>16.14</v>
      </c>
      <c r="O16" s="239"/>
      <c r="P16" s="240">
        <f t="shared" si="4"/>
        <v>94.07</v>
      </c>
      <c r="Q16" s="240">
        <f t="shared" si="4"/>
        <v>93.01</v>
      </c>
      <c r="R16" s="240">
        <f t="shared" si="4"/>
        <v>92.19</v>
      </c>
      <c r="S16" s="240">
        <f t="shared" si="4"/>
        <v>89.41</v>
      </c>
      <c r="T16" s="240">
        <f t="shared" si="4"/>
        <v>82.37</v>
      </c>
      <c r="U16" s="240">
        <f>U10</f>
        <v>92.35</v>
      </c>
    </row>
    <row r="17" spans="1:21" ht="13.8" thickTop="1">
      <c r="A17" s="233"/>
      <c r="B17" s="239"/>
      <c r="C17" s="239"/>
      <c r="D17" s="239"/>
      <c r="E17" s="239"/>
      <c r="F17" s="239"/>
      <c r="G17" s="239"/>
      <c r="H17" s="239"/>
      <c r="I17" s="239"/>
      <c r="J17" s="239"/>
      <c r="K17" s="239"/>
      <c r="L17" s="239"/>
      <c r="M17" s="239"/>
      <c r="N17" s="239"/>
      <c r="O17" s="239"/>
      <c r="P17" s="239"/>
      <c r="Q17" s="239"/>
      <c r="R17" s="239"/>
      <c r="S17" s="239"/>
      <c r="T17" s="239"/>
      <c r="U17" s="239"/>
    </row>
    <row r="18" spans="1:21" ht="15.6">
      <c r="A18" s="241" t="s">
        <v>677</v>
      </c>
      <c r="B18" s="239"/>
      <c r="C18" s="239"/>
      <c r="D18" s="239"/>
      <c r="E18" s="239"/>
      <c r="F18" s="239"/>
      <c r="G18" s="239"/>
      <c r="H18" s="239"/>
      <c r="I18" s="239"/>
      <c r="J18" s="239"/>
      <c r="K18" s="239"/>
      <c r="L18" s="239"/>
      <c r="M18" s="239"/>
      <c r="N18" s="239"/>
      <c r="O18" s="239"/>
      <c r="P18" s="239"/>
      <c r="Q18" s="239"/>
      <c r="R18" s="239"/>
      <c r="S18" s="239"/>
      <c r="T18" s="239"/>
      <c r="U18" s="239"/>
    </row>
    <row r="19" spans="1:21">
      <c r="A19" s="227"/>
      <c r="B19" s="531" t="s">
        <v>671</v>
      </c>
      <c r="C19" s="531"/>
      <c r="D19" s="531"/>
      <c r="E19" s="531"/>
      <c r="F19" s="531"/>
      <c r="G19" s="531"/>
      <c r="H19" s="130"/>
      <c r="I19" s="531" t="s">
        <v>671</v>
      </c>
      <c r="J19" s="531"/>
      <c r="K19" s="531"/>
      <c r="L19" s="531"/>
      <c r="M19" s="531"/>
      <c r="N19" s="531"/>
      <c r="O19" s="130"/>
      <c r="P19" s="531" t="s">
        <v>671</v>
      </c>
      <c r="Q19" s="531"/>
      <c r="R19" s="531"/>
      <c r="S19" s="531"/>
      <c r="T19" s="531"/>
      <c r="U19" s="531"/>
    </row>
    <row r="20" spans="1:21" ht="13.8" thickBot="1">
      <c r="A20" s="227"/>
      <c r="B20" s="30">
        <v>2005</v>
      </c>
      <c r="C20" s="30">
        <v>2006</v>
      </c>
      <c r="D20" s="30">
        <v>2007</v>
      </c>
      <c r="E20" s="30">
        <v>2008</v>
      </c>
      <c r="F20" s="51">
        <v>2009</v>
      </c>
      <c r="G20" s="51">
        <v>2010</v>
      </c>
      <c r="H20" s="129"/>
      <c r="I20" s="30">
        <v>2005</v>
      </c>
      <c r="J20" s="30">
        <v>2006</v>
      </c>
      <c r="K20" s="30">
        <v>2007</v>
      </c>
      <c r="L20" s="30">
        <v>2008</v>
      </c>
      <c r="M20" s="30">
        <v>2009</v>
      </c>
      <c r="N20" s="30">
        <v>2010</v>
      </c>
      <c r="O20" s="129"/>
      <c r="P20" s="30">
        <v>2005</v>
      </c>
      <c r="Q20" s="30">
        <v>2006</v>
      </c>
      <c r="R20" s="30">
        <v>2007</v>
      </c>
      <c r="S20" s="30">
        <v>2008</v>
      </c>
      <c r="T20" s="30">
        <v>2009</v>
      </c>
      <c r="U20" s="30">
        <v>2010</v>
      </c>
    </row>
    <row r="21" spans="1:21" ht="13.5" customHeight="1" thickTop="1">
      <c r="A21" s="76"/>
      <c r="B21" s="581" t="s">
        <v>336</v>
      </c>
      <c r="C21" s="538"/>
      <c r="D21" s="538"/>
      <c r="E21" s="538"/>
      <c r="F21" s="538"/>
      <c r="G21" s="538"/>
      <c r="H21" s="130"/>
      <c r="I21" s="581" t="s">
        <v>322</v>
      </c>
      <c r="J21" s="538"/>
      <c r="K21" s="538"/>
      <c r="L21" s="538"/>
      <c r="M21" s="538"/>
      <c r="N21" s="538"/>
      <c r="O21" s="130"/>
      <c r="P21" s="581" t="s">
        <v>323</v>
      </c>
      <c r="Q21" s="538"/>
      <c r="R21" s="538"/>
      <c r="S21" s="538"/>
      <c r="T21" s="538"/>
      <c r="U21" s="538"/>
    </row>
    <row r="22" spans="1:21" ht="36" customHeight="1">
      <c r="A22" s="144" t="s">
        <v>324</v>
      </c>
      <c r="B22" s="108"/>
      <c r="C22" s="108"/>
      <c r="D22" s="108"/>
      <c r="E22" s="108"/>
      <c r="F22" s="108"/>
      <c r="G22" s="108"/>
      <c r="H22" s="109"/>
      <c r="I22" s="108"/>
      <c r="J22" s="108"/>
      <c r="K22" s="108"/>
      <c r="L22" s="108"/>
      <c r="M22" s="108"/>
      <c r="N22" s="108"/>
      <c r="O22" s="109"/>
      <c r="P22" s="108"/>
      <c r="Q22" s="108"/>
      <c r="R22" s="108"/>
      <c r="S22" s="108"/>
      <c r="T22" s="108"/>
      <c r="U22" s="108"/>
    </row>
    <row r="23" spans="1:21">
      <c r="A23" s="42" t="s">
        <v>678</v>
      </c>
      <c r="B23" s="60">
        <v>0.32</v>
      </c>
      <c r="C23" s="60">
        <v>0.33</v>
      </c>
      <c r="D23" s="60">
        <v>0.35</v>
      </c>
      <c r="E23" s="60">
        <v>0.34</v>
      </c>
      <c r="F23" s="60">
        <v>0.32</v>
      </c>
      <c r="G23" s="60">
        <v>0.46</v>
      </c>
      <c r="H23" s="67"/>
      <c r="I23" s="60">
        <f>ROUNDDOWN(B23*1.43,2)</f>
        <v>0.45</v>
      </c>
      <c r="J23" s="60">
        <f>ROUND(C23*1.43,2)</f>
        <v>0.47</v>
      </c>
      <c r="K23" s="60">
        <f>ROUNDUP(D23*1.43,2)</f>
        <v>0.51</v>
      </c>
      <c r="L23" s="60">
        <f>ROUND(E23*1.43,2)</f>
        <v>0.49</v>
      </c>
      <c r="M23" s="60">
        <f>ROUND(F23*1.43,2)</f>
        <v>0.46</v>
      </c>
      <c r="N23" s="60">
        <f>ROUND(G23*1.43,2)</f>
        <v>0.66</v>
      </c>
      <c r="O23" s="67"/>
      <c r="P23" s="60">
        <f>ROUND(B23*7.33,2)</f>
        <v>2.35</v>
      </c>
      <c r="Q23" s="60">
        <f>ROUNDDOWN(C23*7.33,2)</f>
        <v>2.41</v>
      </c>
      <c r="R23" s="60">
        <f>ROUND(D23*7.33,2)</f>
        <v>2.57</v>
      </c>
      <c r="S23" s="60">
        <f>ROUND(E23*7.33,2)</f>
        <v>2.4900000000000002</v>
      </c>
      <c r="T23" s="60">
        <f>ROUNDDOWN(F23*7.33,2)</f>
        <v>2.34</v>
      </c>
      <c r="U23" s="60">
        <f>ROUNDDOWN(G23*7.33,2)</f>
        <v>3.37</v>
      </c>
    </row>
    <row r="24" spans="1:21">
      <c r="A24" s="42" t="s">
        <v>679</v>
      </c>
      <c r="B24" s="60">
        <v>0.32</v>
      </c>
      <c r="C24" s="60">
        <v>0.32</v>
      </c>
      <c r="D24" s="60">
        <v>0.31</v>
      </c>
      <c r="E24" s="60">
        <v>0.3</v>
      </c>
      <c r="F24" s="60">
        <v>0.36</v>
      </c>
      <c r="G24" s="60">
        <v>0.46</v>
      </c>
      <c r="H24" s="67"/>
      <c r="I24" s="60">
        <f t="shared" ref="I24:I33" si="6">ROUND(B24*1.43,2)</f>
        <v>0.46</v>
      </c>
      <c r="J24" s="60">
        <f t="shared" ref="J24:J33" si="7">ROUND(C24*1.43,2)</f>
        <v>0.46</v>
      </c>
      <c r="K24" s="60">
        <f t="shared" ref="K24:K33" si="8">ROUND(D24*1.43,2)</f>
        <v>0.44</v>
      </c>
      <c r="L24" s="60">
        <f t="shared" ref="L24:L32" si="9">ROUND(E24*1.43,2)</f>
        <v>0.43</v>
      </c>
      <c r="M24" s="60">
        <f>ROUNDUP(F24*1.43,2)</f>
        <v>0.52</v>
      </c>
      <c r="N24" s="60">
        <f>ROUNDUP(G24*1.43,2)</f>
        <v>0.66</v>
      </c>
      <c r="O24" s="67"/>
      <c r="P24" s="60">
        <f>ROUND(B24*7.33,2)</f>
        <v>2.35</v>
      </c>
      <c r="Q24" s="60">
        <f t="shared" ref="Q24:Q39" si="10">ROUND(C24*7.33,2)</f>
        <v>2.35</v>
      </c>
      <c r="R24" s="60">
        <f>ROUND(D24*7.33,2)</f>
        <v>2.27</v>
      </c>
      <c r="S24" s="60">
        <f t="shared" ref="S24:S39" si="11">ROUND(E24*7.33,2)</f>
        <v>2.2000000000000002</v>
      </c>
      <c r="T24" s="60">
        <f t="shared" ref="T24:U39" si="12">ROUND(F24*7.33,2)</f>
        <v>2.64</v>
      </c>
      <c r="U24" s="60">
        <f t="shared" si="12"/>
        <v>3.37</v>
      </c>
    </row>
    <row r="25" spans="1:21">
      <c r="A25" s="42" t="s">
        <v>680</v>
      </c>
      <c r="B25" s="60">
        <v>0.32</v>
      </c>
      <c r="C25" s="60">
        <v>0.32</v>
      </c>
      <c r="D25" s="60">
        <v>0.33</v>
      </c>
      <c r="E25" s="60">
        <v>0.31</v>
      </c>
      <c r="F25" s="60">
        <v>0.43</v>
      </c>
      <c r="G25" s="60">
        <v>0.47</v>
      </c>
      <c r="H25" s="67"/>
      <c r="I25" s="60">
        <f t="shared" si="6"/>
        <v>0.46</v>
      </c>
      <c r="J25" s="60">
        <f t="shared" si="7"/>
        <v>0.46</v>
      </c>
      <c r="K25" s="60">
        <f t="shared" si="8"/>
        <v>0.47</v>
      </c>
      <c r="L25" s="60">
        <f t="shared" si="9"/>
        <v>0.44</v>
      </c>
      <c r="M25" s="60">
        <f t="shared" ref="M25:N27" si="13">ROUND(F25*1.43,2)</f>
        <v>0.61</v>
      </c>
      <c r="N25" s="60">
        <f t="shared" si="13"/>
        <v>0.67</v>
      </c>
      <c r="O25" s="67"/>
      <c r="P25" s="60">
        <f>ROUND(B25*7.33,2)</f>
        <v>2.35</v>
      </c>
      <c r="Q25" s="60">
        <f t="shared" si="10"/>
        <v>2.35</v>
      </c>
      <c r="R25" s="60">
        <f>ROUND(D25*7.33,2)</f>
        <v>2.42</v>
      </c>
      <c r="S25" s="60">
        <f t="shared" si="11"/>
        <v>2.27</v>
      </c>
      <c r="T25" s="60">
        <f t="shared" si="12"/>
        <v>3.15</v>
      </c>
      <c r="U25" s="60">
        <f t="shared" si="12"/>
        <v>3.45</v>
      </c>
    </row>
    <row r="26" spans="1:21">
      <c r="A26" s="42" t="s">
        <v>681</v>
      </c>
      <c r="B26" s="386">
        <v>0.33</v>
      </c>
      <c r="C26" s="60">
        <v>0.33</v>
      </c>
      <c r="D26" s="60">
        <v>0.33</v>
      </c>
      <c r="E26" s="60">
        <v>0.32</v>
      </c>
      <c r="F26" s="60">
        <v>0.44</v>
      </c>
      <c r="G26" s="60">
        <v>0.46</v>
      </c>
      <c r="H26" s="67"/>
      <c r="I26" s="60">
        <f>ROUNDDOWN(B26*1.43,2)</f>
        <v>0.47</v>
      </c>
      <c r="J26" s="60">
        <f t="shared" si="7"/>
        <v>0.47</v>
      </c>
      <c r="K26" s="60">
        <f t="shared" si="8"/>
        <v>0.47</v>
      </c>
      <c r="L26" s="60">
        <f t="shared" si="9"/>
        <v>0.46</v>
      </c>
      <c r="M26" s="60">
        <f t="shared" si="13"/>
        <v>0.63</v>
      </c>
      <c r="N26" s="60">
        <f t="shared" si="13"/>
        <v>0.66</v>
      </c>
      <c r="O26" s="67"/>
      <c r="P26" s="60">
        <f>ROUNDDOWN(B26*7.33,2)</f>
        <v>2.41</v>
      </c>
      <c r="Q26" s="60">
        <f t="shared" si="10"/>
        <v>2.42</v>
      </c>
      <c r="R26" s="60">
        <f>ROUND(D26*7.33,2)</f>
        <v>2.42</v>
      </c>
      <c r="S26" s="60">
        <f t="shared" si="11"/>
        <v>2.35</v>
      </c>
      <c r="T26" s="60">
        <f t="shared" si="12"/>
        <v>3.23</v>
      </c>
      <c r="U26" s="60">
        <f t="shared" si="12"/>
        <v>3.37</v>
      </c>
    </row>
    <row r="27" spans="1:21" ht="13.8" thickBot="1">
      <c r="A27" s="230" t="s">
        <v>672</v>
      </c>
      <c r="B27" s="238">
        <v>1.29</v>
      </c>
      <c r="C27" s="238">
        <v>1.3</v>
      </c>
      <c r="D27" s="238">
        <v>1.32</v>
      </c>
      <c r="E27" s="238">
        <v>1.27</v>
      </c>
      <c r="F27" s="238">
        <v>1.55</v>
      </c>
      <c r="G27" s="238">
        <v>1.85</v>
      </c>
      <c r="H27" s="239"/>
      <c r="I27" s="238">
        <f t="shared" si="6"/>
        <v>1.84</v>
      </c>
      <c r="J27" s="238">
        <f t="shared" si="7"/>
        <v>1.86</v>
      </c>
      <c r="K27" s="238">
        <f t="shared" si="8"/>
        <v>1.89</v>
      </c>
      <c r="L27" s="238">
        <f t="shared" si="9"/>
        <v>1.82</v>
      </c>
      <c r="M27" s="238">
        <f t="shared" si="13"/>
        <v>2.2200000000000002</v>
      </c>
      <c r="N27" s="238">
        <f t="shared" si="13"/>
        <v>2.65</v>
      </c>
      <c r="O27" s="239"/>
      <c r="P27" s="238">
        <f>ROUND(B27*7.33,2)</f>
        <v>9.4600000000000009</v>
      </c>
      <c r="Q27" s="238">
        <f t="shared" si="10"/>
        <v>9.5299999999999994</v>
      </c>
      <c r="R27" s="238">
        <f>ROUND(D27*7.33,2)</f>
        <v>9.68</v>
      </c>
      <c r="S27" s="238">
        <f t="shared" si="11"/>
        <v>9.31</v>
      </c>
      <c r="T27" s="238">
        <f t="shared" si="12"/>
        <v>11.36</v>
      </c>
      <c r="U27" s="238">
        <f t="shared" si="12"/>
        <v>13.56</v>
      </c>
    </row>
    <row r="28" spans="1:21" ht="23.25" customHeight="1">
      <c r="A28" s="144" t="s">
        <v>673</v>
      </c>
      <c r="B28" s="167"/>
      <c r="C28" s="108"/>
      <c r="D28" s="108"/>
      <c r="E28" s="108"/>
      <c r="F28" s="108"/>
      <c r="G28" s="108"/>
      <c r="H28" s="109"/>
      <c r="I28" s="167"/>
      <c r="J28" s="108"/>
      <c r="K28" s="108"/>
      <c r="L28" s="108"/>
      <c r="M28" s="108"/>
      <c r="N28" s="108"/>
      <c r="O28" s="168"/>
      <c r="P28" s="108"/>
      <c r="Q28" s="108"/>
      <c r="R28" s="108"/>
      <c r="S28" s="108"/>
      <c r="T28" s="167"/>
      <c r="U28" s="108"/>
    </row>
    <row r="29" spans="1:21">
      <c r="A29" s="42" t="s">
        <v>678</v>
      </c>
      <c r="B29" s="176">
        <v>0</v>
      </c>
      <c r="C29" s="176">
        <v>7.85</v>
      </c>
      <c r="D29" s="176">
        <v>8.18</v>
      </c>
      <c r="E29" s="176">
        <v>7.84</v>
      </c>
      <c r="F29" s="176">
        <v>7.26</v>
      </c>
      <c r="G29" s="176">
        <v>7.34</v>
      </c>
      <c r="H29" s="229"/>
      <c r="I29" s="176">
        <f t="shared" si="6"/>
        <v>0</v>
      </c>
      <c r="J29" s="176">
        <f t="shared" si="7"/>
        <v>11.23</v>
      </c>
      <c r="K29" s="176">
        <f t="shared" si="8"/>
        <v>11.7</v>
      </c>
      <c r="L29" s="176">
        <f t="shared" si="9"/>
        <v>11.21</v>
      </c>
      <c r="M29" s="176">
        <f>ROUNDUP(F29*1.43,2)</f>
        <v>10.39</v>
      </c>
      <c r="N29" s="176">
        <f>ROUNDUP(G29*1.43,2)</f>
        <v>10.5</v>
      </c>
      <c r="O29" s="229"/>
      <c r="P29" s="176">
        <f>ROUND(B29*7.33,2)</f>
        <v>0</v>
      </c>
      <c r="Q29" s="176">
        <f t="shared" si="10"/>
        <v>57.54</v>
      </c>
      <c r="R29" s="176">
        <f>ROUNDDOWN(D29*7.33,2)</f>
        <v>59.95</v>
      </c>
      <c r="S29" s="176">
        <f t="shared" si="11"/>
        <v>57.47</v>
      </c>
      <c r="T29" s="176">
        <f>ROUNDDOWN(F29*7.33,2)</f>
        <v>53.21</v>
      </c>
      <c r="U29" s="176">
        <f>ROUNDDOWN(G29*7.33,2)</f>
        <v>53.8</v>
      </c>
    </row>
    <row r="30" spans="1:21">
      <c r="A30" s="42" t="s">
        <v>679</v>
      </c>
      <c r="B30" s="176">
        <v>0</v>
      </c>
      <c r="C30" s="176">
        <v>8.27</v>
      </c>
      <c r="D30" s="176">
        <v>8.17</v>
      </c>
      <c r="E30" s="176">
        <v>7.71</v>
      </c>
      <c r="F30" s="176">
        <v>7.42</v>
      </c>
      <c r="G30" s="176">
        <v>7.54</v>
      </c>
      <c r="H30" s="229"/>
      <c r="I30" s="176">
        <f t="shared" si="6"/>
        <v>0</v>
      </c>
      <c r="J30" s="176">
        <f t="shared" si="7"/>
        <v>11.83</v>
      </c>
      <c r="K30" s="176">
        <f t="shared" si="8"/>
        <v>11.68</v>
      </c>
      <c r="L30" s="176">
        <f>ROUND(E30*1.43,2)</f>
        <v>11.03</v>
      </c>
      <c r="M30" s="176">
        <f>ROUND(F30*1.43,2)</f>
        <v>10.61</v>
      </c>
      <c r="N30" s="176">
        <f>ROUND(G30*1.43,2)</f>
        <v>10.78</v>
      </c>
      <c r="O30" s="229"/>
      <c r="P30" s="176">
        <f>ROUND(B30*7.33,2)</f>
        <v>0</v>
      </c>
      <c r="Q30" s="176">
        <f t="shared" si="10"/>
        <v>60.62</v>
      </c>
      <c r="R30" s="176">
        <f>ROUND(D30*7.33,2)</f>
        <v>59.89</v>
      </c>
      <c r="S30" s="176">
        <f t="shared" si="11"/>
        <v>56.51</v>
      </c>
      <c r="T30" s="176">
        <f t="shared" si="12"/>
        <v>54.39</v>
      </c>
      <c r="U30" s="176">
        <f t="shared" si="12"/>
        <v>55.27</v>
      </c>
    </row>
    <row r="31" spans="1:21">
      <c r="A31" s="42" t="s">
        <v>680</v>
      </c>
      <c r="B31" s="176">
        <v>0</v>
      </c>
      <c r="C31" s="176">
        <v>8.24</v>
      </c>
      <c r="D31" s="176">
        <v>8.15</v>
      </c>
      <c r="E31" s="176">
        <v>7.71</v>
      </c>
      <c r="F31" s="176">
        <v>7.73</v>
      </c>
      <c r="G31" s="176">
        <v>7.72</v>
      </c>
      <c r="H31" s="229"/>
      <c r="I31" s="176">
        <f t="shared" si="6"/>
        <v>0</v>
      </c>
      <c r="J31" s="176">
        <f t="shared" si="7"/>
        <v>11.78</v>
      </c>
      <c r="K31" s="176">
        <f t="shared" si="8"/>
        <v>11.65</v>
      </c>
      <c r="L31" s="176">
        <f>ROUNDDOWN(E31*1.43,2)</f>
        <v>11.02</v>
      </c>
      <c r="M31" s="176">
        <f>ROUND(F31*1.43,2)</f>
        <v>11.05</v>
      </c>
      <c r="N31" s="176">
        <f>ROUNDDOWN(G31*1.43,2)</f>
        <v>11.03</v>
      </c>
      <c r="O31" s="229"/>
      <c r="P31" s="176">
        <f>ROUND(B31*7.33,2)</f>
        <v>0</v>
      </c>
      <c r="Q31" s="176">
        <f t="shared" si="10"/>
        <v>60.4</v>
      </c>
      <c r="R31" s="176">
        <f>ROUND(D31*7.33,2)</f>
        <v>59.74</v>
      </c>
      <c r="S31" s="176">
        <f t="shared" si="11"/>
        <v>56.51</v>
      </c>
      <c r="T31" s="176">
        <f t="shared" si="12"/>
        <v>56.66</v>
      </c>
      <c r="U31" s="176">
        <f t="shared" si="12"/>
        <v>56.59</v>
      </c>
    </row>
    <row r="32" spans="1:21">
      <c r="A32" s="42" t="s">
        <v>681</v>
      </c>
      <c r="B32" s="176">
        <v>8.1999999999999993</v>
      </c>
      <c r="C32" s="176">
        <v>8.36</v>
      </c>
      <c r="D32" s="176">
        <v>8.16</v>
      </c>
      <c r="E32" s="176">
        <v>7.52</v>
      </c>
      <c r="F32" s="176">
        <v>7.66</v>
      </c>
      <c r="G32" s="176">
        <v>7.56</v>
      </c>
      <c r="H32" s="229"/>
      <c r="I32" s="176">
        <f t="shared" si="6"/>
        <v>11.73</v>
      </c>
      <c r="J32" s="176">
        <f t="shared" si="7"/>
        <v>11.95</v>
      </c>
      <c r="K32" s="176">
        <f t="shared" si="8"/>
        <v>11.67</v>
      </c>
      <c r="L32" s="176">
        <f t="shared" si="9"/>
        <v>10.75</v>
      </c>
      <c r="M32" s="176">
        <f>ROUND(F32*1.43,2)</f>
        <v>10.95</v>
      </c>
      <c r="N32" s="176">
        <f>ROUND(G32*1.43,2)</f>
        <v>10.81</v>
      </c>
      <c r="O32" s="229"/>
      <c r="P32" s="176">
        <f>ROUNDDOWN(B32*7.33,2)</f>
        <v>60.1</v>
      </c>
      <c r="Q32" s="176">
        <f t="shared" si="10"/>
        <v>61.28</v>
      </c>
      <c r="R32" s="176">
        <f>ROUND(D32*7.33,2)</f>
        <v>59.81</v>
      </c>
      <c r="S32" s="176">
        <f>ROUNDUP(E32*7.33,2)</f>
        <v>55.129999999999995</v>
      </c>
      <c r="T32" s="176">
        <f t="shared" si="12"/>
        <v>56.15</v>
      </c>
      <c r="U32" s="176">
        <f t="shared" si="12"/>
        <v>55.41</v>
      </c>
    </row>
    <row r="33" spans="1:21" ht="13.8" thickBot="1">
      <c r="A33" s="230" t="s">
        <v>672</v>
      </c>
      <c r="B33" s="231">
        <v>8.1999999999999993</v>
      </c>
      <c r="C33" s="231">
        <v>32.72</v>
      </c>
      <c r="D33" s="231">
        <v>32.659999999999997</v>
      </c>
      <c r="E33" s="231">
        <v>30.78</v>
      </c>
      <c r="F33" s="231">
        <v>30.07</v>
      </c>
      <c r="G33" s="231">
        <v>30.16</v>
      </c>
      <c r="H33" s="232"/>
      <c r="I33" s="231">
        <f t="shared" si="6"/>
        <v>11.73</v>
      </c>
      <c r="J33" s="231">
        <f t="shared" si="7"/>
        <v>46.79</v>
      </c>
      <c r="K33" s="231">
        <f t="shared" si="8"/>
        <v>46.7</v>
      </c>
      <c r="L33" s="231">
        <f>ROUNDDOWN(E33*1.43,2)</f>
        <v>44.01</v>
      </c>
      <c r="M33" s="231">
        <f>ROUND(F33*1.43,2)</f>
        <v>43</v>
      </c>
      <c r="N33" s="231">
        <f>ROUNDDOWN(G33*1.43,2)</f>
        <v>43.12</v>
      </c>
      <c r="O33" s="232"/>
      <c r="P33" s="231">
        <f>ROUNDDOWN(B33*7.33,2)</f>
        <v>60.1</v>
      </c>
      <c r="Q33" s="231">
        <f t="shared" si="10"/>
        <v>239.84</v>
      </c>
      <c r="R33" s="231">
        <f>ROUNDDOWN(D33*7.33,2)</f>
        <v>239.39</v>
      </c>
      <c r="S33" s="231">
        <f t="shared" si="11"/>
        <v>225.62</v>
      </c>
      <c r="T33" s="231">
        <f t="shared" si="12"/>
        <v>220.41</v>
      </c>
      <c r="U33" s="231">
        <f t="shared" si="12"/>
        <v>221.07</v>
      </c>
    </row>
    <row r="34" spans="1:21" ht="24" customHeight="1">
      <c r="A34" s="144" t="s">
        <v>675</v>
      </c>
      <c r="B34" s="108"/>
      <c r="C34" s="108"/>
      <c r="D34" s="108"/>
      <c r="E34" s="108"/>
      <c r="F34" s="108"/>
      <c r="G34" s="108"/>
      <c r="H34" s="109"/>
      <c r="I34" s="108"/>
      <c r="J34" s="108"/>
      <c r="K34" s="108"/>
      <c r="L34" s="108"/>
      <c r="M34" s="108"/>
      <c r="N34" s="108"/>
      <c r="O34" s="109"/>
      <c r="P34" s="108"/>
      <c r="Q34" s="108"/>
      <c r="R34" s="108"/>
      <c r="S34" s="108"/>
      <c r="T34" s="108"/>
      <c r="U34" s="108"/>
    </row>
    <row r="35" spans="1:21">
      <c r="A35" s="42" t="s">
        <v>678</v>
      </c>
      <c r="B35" s="60">
        <v>0.32</v>
      </c>
      <c r="C35" s="60">
        <v>8.18</v>
      </c>
      <c r="D35" s="60">
        <v>8.5299999999999994</v>
      </c>
      <c r="E35" s="60">
        <v>8.18</v>
      </c>
      <c r="F35" s="60">
        <v>7.58</v>
      </c>
      <c r="G35" s="60">
        <v>7.8</v>
      </c>
      <c r="H35" s="67"/>
      <c r="I35" s="60">
        <f t="shared" ref="I35:N38" si="14">I29+I23</f>
        <v>0.45</v>
      </c>
      <c r="J35" s="60">
        <f t="shared" si="14"/>
        <v>11.700000000000001</v>
      </c>
      <c r="K35" s="60">
        <f t="shared" si="14"/>
        <v>12.209999999999999</v>
      </c>
      <c r="L35" s="60">
        <f t="shared" si="14"/>
        <v>11.700000000000001</v>
      </c>
      <c r="M35" s="60">
        <f t="shared" si="14"/>
        <v>10.850000000000001</v>
      </c>
      <c r="N35" s="60">
        <f t="shared" si="14"/>
        <v>11.16</v>
      </c>
      <c r="O35" s="67"/>
      <c r="P35" s="60">
        <f t="shared" ref="P35:U38" si="15">P29+P23</f>
        <v>2.35</v>
      </c>
      <c r="Q35" s="60">
        <f t="shared" si="15"/>
        <v>59.95</v>
      </c>
      <c r="R35" s="60">
        <f t="shared" si="15"/>
        <v>62.52</v>
      </c>
      <c r="S35" s="60">
        <f t="shared" si="15"/>
        <v>59.96</v>
      </c>
      <c r="T35" s="60">
        <f t="shared" si="15"/>
        <v>55.55</v>
      </c>
      <c r="U35" s="60">
        <f t="shared" si="15"/>
        <v>57.169999999999995</v>
      </c>
    </row>
    <row r="36" spans="1:21">
      <c r="A36" s="42" t="s">
        <v>679</v>
      </c>
      <c r="B36" s="60">
        <v>0.32</v>
      </c>
      <c r="C36" s="60">
        <v>8.59</v>
      </c>
      <c r="D36" s="60">
        <v>8.48</v>
      </c>
      <c r="E36" s="60">
        <v>8.01</v>
      </c>
      <c r="F36" s="60">
        <v>7.78</v>
      </c>
      <c r="G36" s="60">
        <v>8</v>
      </c>
      <c r="H36" s="67"/>
      <c r="I36" s="60">
        <f t="shared" si="14"/>
        <v>0.46</v>
      </c>
      <c r="J36" s="60">
        <f t="shared" si="14"/>
        <v>12.290000000000001</v>
      </c>
      <c r="K36" s="60">
        <f t="shared" si="14"/>
        <v>12.12</v>
      </c>
      <c r="L36" s="60">
        <f t="shared" si="14"/>
        <v>11.459999999999999</v>
      </c>
      <c r="M36" s="60">
        <f t="shared" si="14"/>
        <v>11.129999999999999</v>
      </c>
      <c r="N36" s="60">
        <f t="shared" si="14"/>
        <v>11.44</v>
      </c>
      <c r="O36" s="67"/>
      <c r="P36" s="60">
        <f t="shared" si="15"/>
        <v>2.35</v>
      </c>
      <c r="Q36" s="60">
        <f t="shared" si="15"/>
        <v>62.97</v>
      </c>
      <c r="R36" s="60">
        <f t="shared" si="15"/>
        <v>62.160000000000004</v>
      </c>
      <c r="S36" s="60">
        <f t="shared" si="15"/>
        <v>58.71</v>
      </c>
      <c r="T36" s="60">
        <f t="shared" si="15"/>
        <v>57.03</v>
      </c>
      <c r="U36" s="60">
        <f t="shared" si="15"/>
        <v>58.64</v>
      </c>
    </row>
    <row r="37" spans="1:21">
      <c r="A37" s="42" t="s">
        <v>680</v>
      </c>
      <c r="B37" s="60">
        <v>0.32</v>
      </c>
      <c r="C37" s="60">
        <v>8.56</v>
      </c>
      <c r="D37" s="60">
        <v>8.48</v>
      </c>
      <c r="E37" s="60">
        <v>8.02</v>
      </c>
      <c r="F37" s="60">
        <v>8.16</v>
      </c>
      <c r="G37" s="60">
        <v>8.19</v>
      </c>
      <c r="H37" s="67"/>
      <c r="I37" s="60">
        <f t="shared" si="14"/>
        <v>0.46</v>
      </c>
      <c r="J37" s="60">
        <f t="shared" si="14"/>
        <v>12.24</v>
      </c>
      <c r="K37" s="60">
        <f t="shared" si="14"/>
        <v>12.120000000000001</v>
      </c>
      <c r="L37" s="60">
        <f t="shared" si="14"/>
        <v>11.459999999999999</v>
      </c>
      <c r="M37" s="60">
        <f t="shared" si="14"/>
        <v>11.66</v>
      </c>
      <c r="N37" s="60">
        <f t="shared" si="14"/>
        <v>11.7</v>
      </c>
      <c r="O37" s="67"/>
      <c r="P37" s="60">
        <f t="shared" si="15"/>
        <v>2.35</v>
      </c>
      <c r="Q37" s="60">
        <f t="shared" si="15"/>
        <v>62.75</v>
      </c>
      <c r="R37" s="60">
        <f t="shared" si="15"/>
        <v>62.160000000000004</v>
      </c>
      <c r="S37" s="60">
        <f t="shared" si="15"/>
        <v>58.78</v>
      </c>
      <c r="T37" s="60">
        <f t="shared" si="15"/>
        <v>59.809999999999995</v>
      </c>
      <c r="U37" s="60">
        <f t="shared" si="15"/>
        <v>60.040000000000006</v>
      </c>
    </row>
    <row r="38" spans="1:21">
      <c r="A38" s="42" t="s">
        <v>681</v>
      </c>
      <c r="B38" s="60">
        <v>8.5299999999999994</v>
      </c>
      <c r="C38" s="60">
        <v>8.69</v>
      </c>
      <c r="D38" s="60">
        <v>8.49</v>
      </c>
      <c r="E38" s="60">
        <v>7.84</v>
      </c>
      <c r="F38" s="60">
        <v>8.1</v>
      </c>
      <c r="G38" s="60">
        <v>8.02</v>
      </c>
      <c r="H38" s="67"/>
      <c r="I38" s="60">
        <f t="shared" si="14"/>
        <v>12.200000000000001</v>
      </c>
      <c r="J38" s="60">
        <f t="shared" si="14"/>
        <v>12.42</v>
      </c>
      <c r="K38" s="60">
        <f t="shared" si="14"/>
        <v>12.14</v>
      </c>
      <c r="L38" s="60">
        <f t="shared" si="14"/>
        <v>11.21</v>
      </c>
      <c r="M38" s="60">
        <f t="shared" si="14"/>
        <v>11.58</v>
      </c>
      <c r="N38" s="60">
        <f t="shared" si="14"/>
        <v>11.47</v>
      </c>
      <c r="O38" s="67"/>
      <c r="P38" s="60">
        <f t="shared" si="15"/>
        <v>62.510000000000005</v>
      </c>
      <c r="Q38" s="60">
        <f t="shared" si="15"/>
        <v>63.7</v>
      </c>
      <c r="R38" s="60">
        <f t="shared" si="15"/>
        <v>62.230000000000004</v>
      </c>
      <c r="S38" s="60">
        <f t="shared" si="15"/>
        <v>57.48</v>
      </c>
      <c r="T38" s="60">
        <f t="shared" si="15"/>
        <v>59.379999999999995</v>
      </c>
      <c r="U38" s="60">
        <f t="shared" si="15"/>
        <v>58.779999999999994</v>
      </c>
    </row>
    <row r="39" spans="1:21" ht="13.8" thickBot="1">
      <c r="A39" s="234" t="s">
        <v>672</v>
      </c>
      <c r="B39" s="240">
        <v>9.49</v>
      </c>
      <c r="C39" s="240">
        <v>34.020000000000003</v>
      </c>
      <c r="D39" s="240">
        <v>33.979999999999997</v>
      </c>
      <c r="E39" s="240">
        <v>32.049999999999997</v>
      </c>
      <c r="F39" s="240">
        <v>31.62</v>
      </c>
      <c r="G39" s="240">
        <v>32.01</v>
      </c>
      <c r="H39" s="239"/>
      <c r="I39" s="240">
        <f t="shared" ref="I39:N39" si="16">ROUND(B39*1.43,2)</f>
        <v>13.57</v>
      </c>
      <c r="J39" s="240">
        <f t="shared" si="16"/>
        <v>48.65</v>
      </c>
      <c r="K39" s="240">
        <f t="shared" si="16"/>
        <v>48.59</v>
      </c>
      <c r="L39" s="240">
        <f t="shared" si="16"/>
        <v>45.83</v>
      </c>
      <c r="M39" s="240">
        <f t="shared" si="16"/>
        <v>45.22</v>
      </c>
      <c r="N39" s="240">
        <f t="shared" si="16"/>
        <v>45.77</v>
      </c>
      <c r="O39" s="239"/>
      <c r="P39" s="240">
        <f>ROUND(B39*7.33,2)</f>
        <v>69.56</v>
      </c>
      <c r="Q39" s="240">
        <f t="shared" si="10"/>
        <v>249.37</v>
      </c>
      <c r="R39" s="240">
        <f>ROUND(D39*7.33,2)</f>
        <v>249.07</v>
      </c>
      <c r="S39" s="240">
        <f t="shared" si="11"/>
        <v>234.93</v>
      </c>
      <c r="T39" s="240">
        <f t="shared" si="12"/>
        <v>231.77</v>
      </c>
      <c r="U39" s="240">
        <f t="shared" si="12"/>
        <v>234.63</v>
      </c>
    </row>
    <row r="40" spans="1:21" ht="13.8" thickTop="1">
      <c r="A40" s="75" t="s">
        <v>332</v>
      </c>
      <c r="B40" s="28"/>
      <c r="C40" s="28"/>
      <c r="D40" s="28"/>
      <c r="E40" s="28"/>
      <c r="F40" s="28"/>
      <c r="G40" s="28"/>
      <c r="H40" s="49"/>
      <c r="I40" s="28"/>
      <c r="J40" s="28"/>
      <c r="K40" s="28"/>
      <c r="L40" s="28"/>
      <c r="M40" s="28"/>
      <c r="N40" s="28"/>
      <c r="O40" s="49"/>
      <c r="P40" s="28"/>
      <c r="Q40" s="28"/>
      <c r="R40" s="28"/>
      <c r="S40" s="28"/>
      <c r="T40" s="28"/>
      <c r="U40" s="28"/>
    </row>
    <row r="41" spans="1:21"/>
    <row r="42" spans="1:21">
      <c r="A42" s="530" t="s">
        <v>213</v>
      </c>
      <c r="B42" s="530"/>
      <c r="C42" s="530"/>
      <c r="D42" s="530"/>
      <c r="E42" s="530"/>
      <c r="F42" s="530"/>
      <c r="G42" s="530"/>
      <c r="H42" s="530"/>
    </row>
    <row r="43" spans="1:21" hidden="1"/>
    <row r="44" spans="1:21" hidden="1"/>
    <row r="45" spans="1:21" hidden="1"/>
    <row r="46" spans="1:21" hidden="1"/>
  </sheetData>
  <sheetProtection password="CAF1" sheet="1" formatCells="0" formatColumns="0" formatRows="0" insertColumns="0" insertRows="0" insertHyperlinks="0" deleteColumns="0" deleteRows="0" sort="0" autoFilter="0" pivotTables="0"/>
  <mergeCells count="13">
    <mergeCell ref="B2:G2"/>
    <mergeCell ref="I2:N2"/>
    <mergeCell ref="P2:U2"/>
    <mergeCell ref="P4:U4"/>
    <mergeCell ref="P21:U21"/>
    <mergeCell ref="B19:G19"/>
    <mergeCell ref="I19:N19"/>
    <mergeCell ref="P19:U19"/>
    <mergeCell ref="A42:H42"/>
    <mergeCell ref="B4:G4"/>
    <mergeCell ref="B21:G21"/>
    <mergeCell ref="I4:N4"/>
    <mergeCell ref="I21:N21"/>
  </mergeCells>
  <phoneticPr fontId="24" type="noConversion"/>
  <hyperlinks>
    <hyperlink ref="A42:H42" location="Contents!A1" display="Back to the Contents"/>
  </hyperlinks>
  <pageMargins left="0.23622047244094491" right="0.23622047244094491" top="0.74803149606299213" bottom="0.74803149606299213" header="0.31496062992125984" footer="0.31496062992125984"/>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worksheet>
</file>

<file path=xl/worksheets/sheet15.xml><?xml version="1.0" encoding="utf-8"?>
<worksheet xmlns="http://schemas.openxmlformats.org/spreadsheetml/2006/main" xmlns:r="http://schemas.openxmlformats.org/officeDocument/2006/relationships">
  <dimension ref="A1:U37"/>
  <sheetViews>
    <sheetView zoomScaleNormal="100" zoomScaleSheetLayoutView="100" workbookViewId="0"/>
  </sheetViews>
  <sheetFormatPr defaultColWidth="0" defaultRowHeight="13.2" zeroHeight="1" outlineLevelCol="1"/>
  <cols>
    <col min="1" max="1" width="29" style="4" customWidth="1"/>
    <col min="2" max="2" width="7.5546875" style="4" hidden="1" customWidth="1" outlineLevel="1"/>
    <col min="3" max="3" width="7.5546875" style="4" customWidth="1" collapsed="1"/>
    <col min="4" max="7" width="7.5546875" style="4" customWidth="1"/>
    <col min="8" max="8" width="1.33203125" style="4" customWidth="1"/>
    <col min="9" max="9" width="7.5546875" style="4" hidden="1" customWidth="1" outlineLevel="1"/>
    <col min="10" max="10" width="7.5546875" style="4" customWidth="1" collapsed="1"/>
    <col min="11" max="14" width="7.5546875" style="4" customWidth="1"/>
    <col min="15" max="15" width="1.33203125" style="4" customWidth="1"/>
    <col min="16" max="16" width="7.5546875" style="4" hidden="1" customWidth="1" outlineLevel="1"/>
    <col min="17" max="17" width="7.5546875" style="4" customWidth="1" collapsed="1"/>
    <col min="18" max="21" width="7.5546875" style="4" customWidth="1"/>
    <col min="22" max="16384" width="0" style="4" hidden="1"/>
  </cols>
  <sheetData>
    <row r="1" spans="1:21" s="11" customFormat="1" ht="15.6">
      <c r="A1" s="242" t="s">
        <v>1118</v>
      </c>
      <c r="B1" s="28"/>
      <c r="C1" s="28"/>
      <c r="D1" s="28"/>
      <c r="E1" s="28"/>
      <c r="F1" s="28"/>
      <c r="G1" s="28"/>
      <c r="H1" s="49"/>
      <c r="I1" s="28"/>
      <c r="J1" s="28"/>
      <c r="K1" s="28"/>
      <c r="L1" s="28"/>
      <c r="M1" s="28"/>
      <c r="N1" s="28"/>
      <c r="O1" s="49"/>
      <c r="P1" s="28"/>
      <c r="Q1" s="28"/>
      <c r="R1" s="28"/>
      <c r="S1" s="28"/>
      <c r="T1" s="28"/>
      <c r="U1" s="28"/>
    </row>
    <row r="2" spans="1:21">
      <c r="A2" s="145"/>
      <c r="B2" s="531" t="s">
        <v>671</v>
      </c>
      <c r="C2" s="531"/>
      <c r="D2" s="531"/>
      <c r="E2" s="531"/>
      <c r="F2" s="531"/>
      <c r="G2" s="29"/>
      <c r="H2" s="130"/>
      <c r="I2" s="531" t="s">
        <v>671</v>
      </c>
      <c r="J2" s="531"/>
      <c r="K2" s="531"/>
      <c r="L2" s="531"/>
      <c r="M2" s="531"/>
      <c r="N2" s="29"/>
      <c r="O2" s="130"/>
      <c r="P2" s="531" t="s">
        <v>671</v>
      </c>
      <c r="Q2" s="531"/>
      <c r="R2" s="531"/>
      <c r="S2" s="531"/>
      <c r="T2" s="531"/>
      <c r="U2" s="29"/>
    </row>
    <row r="3" spans="1:21">
      <c r="A3" s="145" t="s">
        <v>683</v>
      </c>
      <c r="B3" s="30">
        <v>2005</v>
      </c>
      <c r="C3" s="30">
        <v>2006</v>
      </c>
      <c r="D3" s="30">
        <v>2007</v>
      </c>
      <c r="E3" s="30">
        <v>2008</v>
      </c>
      <c r="F3" s="30">
        <v>2009</v>
      </c>
      <c r="G3" s="30">
        <v>2010</v>
      </c>
      <c r="H3" s="129"/>
      <c r="I3" s="30">
        <v>2005</v>
      </c>
      <c r="J3" s="30">
        <v>2006</v>
      </c>
      <c r="K3" s="30">
        <v>2007</v>
      </c>
      <c r="L3" s="30">
        <v>2008</v>
      </c>
      <c r="M3" s="30">
        <v>2009</v>
      </c>
      <c r="N3" s="30">
        <v>2010</v>
      </c>
      <c r="O3" s="129"/>
      <c r="P3" s="30">
        <v>2005</v>
      </c>
      <c r="Q3" s="30">
        <v>2006</v>
      </c>
      <c r="R3" s="30">
        <v>2007</v>
      </c>
      <c r="S3" s="30">
        <v>2008</v>
      </c>
      <c r="T3" s="30">
        <v>2009</v>
      </c>
      <c r="U3" s="30">
        <v>2010</v>
      </c>
    </row>
    <row r="4" spans="1:21" ht="12.75" customHeight="1">
      <c r="A4" s="152"/>
      <c r="B4" s="547" t="s">
        <v>301</v>
      </c>
      <c r="C4" s="547"/>
      <c r="D4" s="547"/>
      <c r="E4" s="547"/>
      <c r="F4" s="547"/>
      <c r="G4" s="547"/>
      <c r="H4" s="154"/>
      <c r="I4" s="547" t="s">
        <v>302</v>
      </c>
      <c r="J4" s="547"/>
      <c r="K4" s="547"/>
      <c r="L4" s="547"/>
      <c r="M4" s="547"/>
      <c r="N4" s="547"/>
      <c r="O4" s="154"/>
      <c r="P4" s="547" t="s">
        <v>303</v>
      </c>
      <c r="Q4" s="547"/>
      <c r="R4" s="547"/>
      <c r="S4" s="547"/>
      <c r="T4" s="547"/>
      <c r="U4" s="547"/>
    </row>
    <row r="5" spans="1:21">
      <c r="A5" s="123" t="s">
        <v>618</v>
      </c>
      <c r="B5" s="222">
        <v>516.39</v>
      </c>
      <c r="C5" s="222">
        <v>517.88</v>
      </c>
      <c r="D5" s="222">
        <v>510.57</v>
      </c>
      <c r="E5" s="222">
        <v>512.16999999999996</v>
      </c>
      <c r="F5" s="222">
        <v>427.44</v>
      </c>
      <c r="G5" s="222">
        <v>471.67</v>
      </c>
      <c r="H5" s="243"/>
      <c r="I5" s="222">
        <f>ROUNDUP(B5*1.154,2)</f>
        <v>595.91999999999996</v>
      </c>
      <c r="J5" s="222">
        <f>ROUNDUP(C5*1.154,2)</f>
        <v>597.64</v>
      </c>
      <c r="K5" s="222">
        <f t="shared" ref="K5:N10" si="0">ROUND(D5*1.154,2)</f>
        <v>589.20000000000005</v>
      </c>
      <c r="L5" s="222">
        <f t="shared" si="0"/>
        <v>591.04</v>
      </c>
      <c r="M5" s="222">
        <f>ROUNDDOWN(F5*1.154,2)</f>
        <v>493.26</v>
      </c>
      <c r="N5" s="222">
        <f t="shared" si="0"/>
        <v>544.30999999999995</v>
      </c>
      <c r="O5" s="243"/>
      <c r="P5" s="222">
        <f t="shared" ref="P5:P10" si="1">ROUND(B5*5.89,2)</f>
        <v>3041.54</v>
      </c>
      <c r="Q5" s="222">
        <f>ROUNDUP(C5*5.89,2)</f>
        <v>3050.32</v>
      </c>
      <c r="R5" s="222">
        <f t="shared" ref="R5:R10" si="2">ROUND(D5*5.89,2)</f>
        <v>3007.26</v>
      </c>
      <c r="S5" s="222">
        <f>ROUNDUP(E5*5.89,2)</f>
        <v>3016.69</v>
      </c>
      <c r="T5" s="222">
        <f>ROUND(F5*5.89,2)</f>
        <v>2517.62</v>
      </c>
      <c r="U5" s="222">
        <f>ROUND(G5*5.89,2)</f>
        <v>2778.14</v>
      </c>
    </row>
    <row r="6" spans="1:21">
      <c r="A6" s="123" t="s">
        <v>619</v>
      </c>
      <c r="B6" s="222">
        <v>2.82</v>
      </c>
      <c r="C6" s="222">
        <v>2.75</v>
      </c>
      <c r="D6" s="222">
        <v>2.75</v>
      </c>
      <c r="E6" s="222">
        <v>2.64</v>
      </c>
      <c r="F6" s="222">
        <v>2.54</v>
      </c>
      <c r="G6" s="222">
        <v>2.52</v>
      </c>
      <c r="H6" s="243"/>
      <c r="I6" s="222">
        <f t="shared" ref="I6:J10" si="3">ROUND(B6*1.154,2)</f>
        <v>3.25</v>
      </c>
      <c r="J6" s="222">
        <f t="shared" si="3"/>
        <v>3.17</v>
      </c>
      <c r="K6" s="222">
        <f t="shared" si="0"/>
        <v>3.17</v>
      </c>
      <c r="L6" s="222">
        <f t="shared" si="0"/>
        <v>3.05</v>
      </c>
      <c r="M6" s="222">
        <f t="shared" ref="M6:N10" si="4">ROUND(F6*1.154,2)</f>
        <v>2.93</v>
      </c>
      <c r="N6" s="222">
        <f t="shared" si="4"/>
        <v>2.91</v>
      </c>
      <c r="O6" s="243"/>
      <c r="P6" s="222">
        <f t="shared" si="1"/>
        <v>16.61</v>
      </c>
      <c r="Q6" s="222">
        <f>ROUND(C6*5.89,2)</f>
        <v>16.2</v>
      </c>
      <c r="R6" s="222">
        <f t="shared" si="2"/>
        <v>16.2</v>
      </c>
      <c r="S6" s="222">
        <f>ROUND(E6*5.89,2)</f>
        <v>15.55</v>
      </c>
      <c r="T6" s="222">
        <f>ROUND(F6*5.89,2)</f>
        <v>14.96</v>
      </c>
      <c r="U6" s="222">
        <f>ROUND(G6*5.89,2)</f>
        <v>14.84</v>
      </c>
    </row>
    <row r="7" spans="1:21">
      <c r="A7" s="123" t="s">
        <v>620</v>
      </c>
      <c r="B7" s="222">
        <v>13.55</v>
      </c>
      <c r="C7" s="222">
        <v>13.36</v>
      </c>
      <c r="D7" s="222">
        <v>13.37</v>
      </c>
      <c r="E7" s="222">
        <v>13.23</v>
      </c>
      <c r="F7" s="222">
        <v>10.76</v>
      </c>
      <c r="G7" s="222">
        <v>13.01</v>
      </c>
      <c r="H7" s="243"/>
      <c r="I7" s="222">
        <f t="shared" si="3"/>
        <v>15.64</v>
      </c>
      <c r="J7" s="222">
        <f t="shared" si="3"/>
        <v>15.42</v>
      </c>
      <c r="K7" s="222">
        <f t="shared" si="0"/>
        <v>15.43</v>
      </c>
      <c r="L7" s="222">
        <f t="shared" si="0"/>
        <v>15.27</v>
      </c>
      <c r="M7" s="222">
        <f t="shared" si="4"/>
        <v>12.42</v>
      </c>
      <c r="N7" s="222">
        <f t="shared" si="4"/>
        <v>15.01</v>
      </c>
      <c r="O7" s="243"/>
      <c r="P7" s="222">
        <f t="shared" si="1"/>
        <v>79.81</v>
      </c>
      <c r="Q7" s="222">
        <f>ROUND(C7*5.89,2)</f>
        <v>78.69</v>
      </c>
      <c r="R7" s="222">
        <f t="shared" si="2"/>
        <v>78.75</v>
      </c>
      <c r="S7" s="222">
        <f>ROUND(E7*5.89,2)</f>
        <v>77.92</v>
      </c>
      <c r="T7" s="222">
        <f>ROUNDDOWN(F7*5.89,2)</f>
        <v>63.37</v>
      </c>
      <c r="U7" s="222">
        <f>ROUND(G7*5.89,2)</f>
        <v>76.63</v>
      </c>
    </row>
    <row r="8" spans="1:21">
      <c r="A8" s="123" t="s">
        <v>621</v>
      </c>
      <c r="B8" s="222">
        <v>18.72</v>
      </c>
      <c r="C8" s="222">
        <v>18.64</v>
      </c>
      <c r="D8" s="222">
        <v>18.7</v>
      </c>
      <c r="E8" s="222">
        <v>18.71</v>
      </c>
      <c r="F8" s="222">
        <v>17.850000000000001</v>
      </c>
      <c r="G8" s="222">
        <v>18.59</v>
      </c>
      <c r="H8" s="243"/>
      <c r="I8" s="222">
        <f t="shared" si="3"/>
        <v>21.6</v>
      </c>
      <c r="J8" s="222">
        <f t="shared" si="3"/>
        <v>21.51</v>
      </c>
      <c r="K8" s="222">
        <f t="shared" si="0"/>
        <v>21.58</v>
      </c>
      <c r="L8" s="222">
        <f t="shared" si="0"/>
        <v>21.59</v>
      </c>
      <c r="M8" s="222">
        <f t="shared" si="4"/>
        <v>20.6</v>
      </c>
      <c r="N8" s="222">
        <f t="shared" si="4"/>
        <v>21.45</v>
      </c>
      <c r="O8" s="243"/>
      <c r="P8" s="222">
        <f t="shared" si="1"/>
        <v>110.26</v>
      </c>
      <c r="Q8" s="222">
        <f>ROUND(C8*5.89,2)</f>
        <v>109.79</v>
      </c>
      <c r="R8" s="222">
        <f t="shared" si="2"/>
        <v>110.14</v>
      </c>
      <c r="S8" s="222">
        <f>ROUND(E8*5.89,2)</f>
        <v>110.2</v>
      </c>
      <c r="T8" s="222">
        <f>ROUND(F8*5.89,2)</f>
        <v>105.14</v>
      </c>
      <c r="U8" s="222">
        <f>ROUND(G8*5.89,2)</f>
        <v>109.5</v>
      </c>
    </row>
    <row r="9" spans="1:21" s="13" customFormat="1" ht="13.8" thickBot="1">
      <c r="A9" s="123" t="s">
        <v>622</v>
      </c>
      <c r="B9" s="222">
        <v>3.52</v>
      </c>
      <c r="C9" s="222">
        <v>3.32</v>
      </c>
      <c r="D9" s="222">
        <v>3.16</v>
      </c>
      <c r="E9" s="222">
        <v>2.98</v>
      </c>
      <c r="F9" s="222">
        <v>2.93</v>
      </c>
      <c r="G9" s="222">
        <v>2.8</v>
      </c>
      <c r="H9" s="243"/>
      <c r="I9" s="222">
        <f t="shared" si="3"/>
        <v>4.0599999999999996</v>
      </c>
      <c r="J9" s="222">
        <f t="shared" si="3"/>
        <v>3.83</v>
      </c>
      <c r="K9" s="222">
        <f t="shared" si="0"/>
        <v>3.65</v>
      </c>
      <c r="L9" s="222">
        <f t="shared" si="0"/>
        <v>3.44</v>
      </c>
      <c r="M9" s="222">
        <f t="shared" si="4"/>
        <v>3.38</v>
      </c>
      <c r="N9" s="222">
        <f t="shared" si="4"/>
        <v>3.23</v>
      </c>
      <c r="O9" s="243"/>
      <c r="P9" s="222">
        <f t="shared" si="1"/>
        <v>20.73</v>
      </c>
      <c r="Q9" s="222">
        <f>ROUND(C9*5.89,2)</f>
        <v>19.55</v>
      </c>
      <c r="R9" s="222">
        <f t="shared" si="2"/>
        <v>18.61</v>
      </c>
      <c r="S9" s="222">
        <f>ROUND(E9*5.89,2)</f>
        <v>17.55</v>
      </c>
      <c r="T9" s="222">
        <f>ROUND(F9*5.89,2)</f>
        <v>17.260000000000002</v>
      </c>
      <c r="U9" s="222">
        <f>ROUND(G9*5.89,2)</f>
        <v>16.489999999999998</v>
      </c>
    </row>
    <row r="10" spans="1:21">
      <c r="A10" s="175" t="s">
        <v>282</v>
      </c>
      <c r="B10" s="244">
        <v>555</v>
      </c>
      <c r="C10" s="244">
        <v>555.95000000000005</v>
      </c>
      <c r="D10" s="244">
        <v>548.54999999999995</v>
      </c>
      <c r="E10" s="244">
        <v>549.73</v>
      </c>
      <c r="F10" s="244">
        <v>461.52</v>
      </c>
      <c r="G10" s="244">
        <v>508.59</v>
      </c>
      <c r="H10" s="245"/>
      <c r="I10" s="244">
        <f t="shared" si="3"/>
        <v>640.47</v>
      </c>
      <c r="J10" s="244">
        <f t="shared" si="3"/>
        <v>641.57000000000005</v>
      </c>
      <c r="K10" s="244">
        <f t="shared" si="0"/>
        <v>633.03</v>
      </c>
      <c r="L10" s="244">
        <f t="shared" si="0"/>
        <v>634.39</v>
      </c>
      <c r="M10" s="244">
        <f t="shared" si="4"/>
        <v>532.59</v>
      </c>
      <c r="N10" s="244">
        <f t="shared" si="4"/>
        <v>586.91</v>
      </c>
      <c r="O10" s="245"/>
      <c r="P10" s="244">
        <f t="shared" si="1"/>
        <v>3268.95</v>
      </c>
      <c r="Q10" s="244">
        <f>ROUND(C10*5.89,2)</f>
        <v>3274.55</v>
      </c>
      <c r="R10" s="244">
        <f t="shared" si="2"/>
        <v>3230.96</v>
      </c>
      <c r="S10" s="244">
        <f>ROUND(E10*5.89,2)</f>
        <v>3237.91</v>
      </c>
      <c r="T10" s="244">
        <f>ROUND(F10*5.89,2)</f>
        <v>2718.35</v>
      </c>
      <c r="U10" s="244">
        <f>ROUND(G10*5.89,2)</f>
        <v>2995.6</v>
      </c>
    </row>
    <row r="11" spans="1:21" ht="12.75" customHeight="1">
      <c r="A11" s="152"/>
      <c r="B11" s="547" t="s">
        <v>304</v>
      </c>
      <c r="C11" s="547"/>
      <c r="D11" s="547"/>
      <c r="E11" s="547"/>
      <c r="F11" s="547"/>
      <c r="G11" s="547"/>
      <c r="H11" s="154"/>
      <c r="I11" s="547" t="s">
        <v>684</v>
      </c>
      <c r="J11" s="547"/>
      <c r="K11" s="547"/>
      <c r="L11" s="547"/>
      <c r="M11" s="547"/>
      <c r="N11" s="547"/>
      <c r="O11" s="154"/>
      <c r="P11" s="547" t="s">
        <v>685</v>
      </c>
      <c r="Q11" s="547"/>
      <c r="R11" s="547"/>
      <c r="S11" s="547"/>
      <c r="T11" s="547"/>
      <c r="U11" s="547"/>
    </row>
    <row r="12" spans="1:21">
      <c r="A12" s="123" t="s">
        <v>623</v>
      </c>
      <c r="B12" s="222">
        <v>6.38</v>
      </c>
      <c r="C12" s="222">
        <v>6.29</v>
      </c>
      <c r="D12" s="222">
        <v>6.22</v>
      </c>
      <c r="E12" s="222">
        <v>5.95</v>
      </c>
      <c r="F12" s="222">
        <v>6.04</v>
      </c>
      <c r="G12" s="222">
        <v>6.34</v>
      </c>
      <c r="H12" s="243"/>
      <c r="I12" s="222">
        <f>ROUNDUP(B12*1.43,2)</f>
        <v>9.129999999999999</v>
      </c>
      <c r="J12" s="222">
        <f t="shared" ref="J12:J17" si="5">ROUND(C12*1.43,2)</f>
        <v>8.99</v>
      </c>
      <c r="K12" s="222">
        <f>ROUNDUP(D12*1.43,2)</f>
        <v>8.9</v>
      </c>
      <c r="L12" s="222">
        <f t="shared" ref="L12:N17" si="6">ROUND(E12*1.43,2)</f>
        <v>8.51</v>
      </c>
      <c r="M12" s="222">
        <f t="shared" si="6"/>
        <v>8.64</v>
      </c>
      <c r="N12" s="222">
        <f>ROUNDDOWN(G12*1.43,2)</f>
        <v>9.06</v>
      </c>
      <c r="O12" s="243"/>
      <c r="P12" s="222">
        <f t="shared" ref="P12:U17" si="7">ROUND(B12*8.18,2)</f>
        <v>52.19</v>
      </c>
      <c r="Q12" s="222">
        <f t="shared" si="7"/>
        <v>51.45</v>
      </c>
      <c r="R12" s="222">
        <f t="shared" si="7"/>
        <v>50.88</v>
      </c>
      <c r="S12" s="222">
        <f t="shared" si="7"/>
        <v>48.67</v>
      </c>
      <c r="T12" s="222">
        <f>ROUNDDOWN(F12*8.18,2)</f>
        <v>49.4</v>
      </c>
      <c r="U12" s="222">
        <f t="shared" si="7"/>
        <v>51.86</v>
      </c>
    </row>
    <row r="13" spans="1:21">
      <c r="A13" s="123" t="s">
        <v>619</v>
      </c>
      <c r="B13" s="222">
        <v>0.25</v>
      </c>
      <c r="C13" s="222">
        <v>0.23</v>
      </c>
      <c r="D13" s="222">
        <v>0.21</v>
      </c>
      <c r="E13" s="222">
        <v>0.19</v>
      </c>
      <c r="F13" s="222">
        <v>0.17</v>
      </c>
      <c r="G13" s="222">
        <v>0.15</v>
      </c>
      <c r="H13" s="243"/>
      <c r="I13" s="222">
        <f>ROUND(B13*1.43,2)</f>
        <v>0.36</v>
      </c>
      <c r="J13" s="222">
        <f t="shared" si="5"/>
        <v>0.33</v>
      </c>
      <c r="K13" s="222">
        <f>ROUND(D13*1.43,2)</f>
        <v>0.3</v>
      </c>
      <c r="L13" s="222">
        <f t="shared" si="6"/>
        <v>0.27</v>
      </c>
      <c r="M13" s="222">
        <f t="shared" si="6"/>
        <v>0.24</v>
      </c>
      <c r="N13" s="222">
        <f t="shared" si="6"/>
        <v>0.21</v>
      </c>
      <c r="O13" s="243"/>
      <c r="P13" s="222">
        <f t="shared" si="7"/>
        <v>2.0499999999999998</v>
      </c>
      <c r="Q13" s="222">
        <f t="shared" si="7"/>
        <v>1.88</v>
      </c>
      <c r="R13" s="222">
        <f t="shared" si="7"/>
        <v>1.72</v>
      </c>
      <c r="S13" s="222">
        <f t="shared" si="7"/>
        <v>1.55</v>
      </c>
      <c r="T13" s="222">
        <f>ROUND(F13*8.18,2)</f>
        <v>1.39</v>
      </c>
      <c r="U13" s="222">
        <f t="shared" si="7"/>
        <v>1.23</v>
      </c>
    </row>
    <row r="14" spans="1:21">
      <c r="A14" s="123" t="s">
        <v>620</v>
      </c>
      <c r="B14" s="222">
        <v>4.24</v>
      </c>
      <c r="C14" s="222">
        <v>4.25</v>
      </c>
      <c r="D14" s="222">
        <v>4.2699999999999996</v>
      </c>
      <c r="E14" s="222">
        <v>4.26</v>
      </c>
      <c r="F14" s="222">
        <v>3.35</v>
      </c>
      <c r="G14" s="222">
        <v>4.1399999999999997</v>
      </c>
      <c r="H14" s="243"/>
      <c r="I14" s="222">
        <f>ROUND(B14*1.43,2)</f>
        <v>6.06</v>
      </c>
      <c r="J14" s="222">
        <f t="shared" si="5"/>
        <v>6.08</v>
      </c>
      <c r="K14" s="222">
        <f>ROUND(D14*1.43,2)</f>
        <v>6.11</v>
      </c>
      <c r="L14" s="222">
        <f t="shared" si="6"/>
        <v>6.09</v>
      </c>
      <c r="M14" s="222">
        <f t="shared" si="6"/>
        <v>4.79</v>
      </c>
      <c r="N14" s="222">
        <f t="shared" si="6"/>
        <v>5.92</v>
      </c>
      <c r="O14" s="243"/>
      <c r="P14" s="222">
        <f t="shared" si="7"/>
        <v>34.68</v>
      </c>
      <c r="Q14" s="222">
        <f t="shared" si="7"/>
        <v>34.770000000000003</v>
      </c>
      <c r="R14" s="222">
        <f t="shared" si="7"/>
        <v>34.93</v>
      </c>
      <c r="S14" s="222">
        <f t="shared" si="7"/>
        <v>34.85</v>
      </c>
      <c r="T14" s="222">
        <f>ROUND(F14*8.18,2)</f>
        <v>27.4</v>
      </c>
      <c r="U14" s="222">
        <f>ROUNDDOWN(G14*8.18,2)</f>
        <v>33.86</v>
      </c>
    </row>
    <row r="15" spans="1:21">
      <c r="A15" s="123" t="s">
        <v>624</v>
      </c>
      <c r="B15" s="222">
        <v>0.27</v>
      </c>
      <c r="C15" s="222">
        <v>0.27</v>
      </c>
      <c r="D15" s="222">
        <v>0.28000000000000003</v>
      </c>
      <c r="E15" s="222">
        <v>0.27</v>
      </c>
      <c r="F15" s="222">
        <v>0.26</v>
      </c>
      <c r="G15" s="222">
        <v>0.27</v>
      </c>
      <c r="H15" s="243"/>
      <c r="I15" s="222">
        <f>ROUND(B15*1.43,2)</f>
        <v>0.39</v>
      </c>
      <c r="J15" s="222">
        <f t="shared" si="5"/>
        <v>0.39</v>
      </c>
      <c r="K15" s="222">
        <f>ROUND(D15*1.43,2)</f>
        <v>0.4</v>
      </c>
      <c r="L15" s="222">
        <f t="shared" si="6"/>
        <v>0.39</v>
      </c>
      <c r="M15" s="222">
        <f t="shared" si="6"/>
        <v>0.37</v>
      </c>
      <c r="N15" s="222">
        <f t="shared" si="6"/>
        <v>0.39</v>
      </c>
      <c r="O15" s="243"/>
      <c r="P15" s="222">
        <f t="shared" si="7"/>
        <v>2.21</v>
      </c>
      <c r="Q15" s="222">
        <f t="shared" si="7"/>
        <v>2.21</v>
      </c>
      <c r="R15" s="222">
        <f t="shared" si="7"/>
        <v>2.29</v>
      </c>
      <c r="S15" s="222">
        <f t="shared" si="7"/>
        <v>2.21</v>
      </c>
      <c r="T15" s="222">
        <f>ROUND(F15*8.18,2)</f>
        <v>2.13</v>
      </c>
      <c r="U15" s="222">
        <f t="shared" si="7"/>
        <v>2.21</v>
      </c>
    </row>
    <row r="16" spans="1:21" ht="27" customHeight="1" thickBot="1">
      <c r="A16" s="123" t="s">
        <v>622</v>
      </c>
      <c r="B16" s="222">
        <v>0.36</v>
      </c>
      <c r="C16" s="222">
        <v>0.33</v>
      </c>
      <c r="D16" s="222">
        <v>0.28999999999999998</v>
      </c>
      <c r="E16" s="222">
        <v>0.26</v>
      </c>
      <c r="F16" s="222">
        <v>0.25</v>
      </c>
      <c r="G16" s="222">
        <v>0.39</v>
      </c>
      <c r="H16" s="243"/>
      <c r="I16" s="222">
        <f>ROUND(B16*1.43,2)</f>
        <v>0.51</v>
      </c>
      <c r="J16" s="222">
        <f t="shared" si="5"/>
        <v>0.47</v>
      </c>
      <c r="K16" s="222">
        <f>ROUND(D16*1.43,2)</f>
        <v>0.41</v>
      </c>
      <c r="L16" s="222">
        <f t="shared" si="6"/>
        <v>0.37</v>
      </c>
      <c r="M16" s="222">
        <f t="shared" si="6"/>
        <v>0.36</v>
      </c>
      <c r="N16" s="222">
        <f t="shared" si="6"/>
        <v>0.56000000000000005</v>
      </c>
      <c r="O16" s="243"/>
      <c r="P16" s="222">
        <f t="shared" si="7"/>
        <v>2.94</v>
      </c>
      <c r="Q16" s="222">
        <f t="shared" si="7"/>
        <v>2.7</v>
      </c>
      <c r="R16" s="222">
        <f t="shared" si="7"/>
        <v>2.37</v>
      </c>
      <c r="S16" s="222">
        <f t="shared" si="7"/>
        <v>2.13</v>
      </c>
      <c r="T16" s="222">
        <f>ROUND(F16*8.18,2)</f>
        <v>2.0499999999999998</v>
      </c>
      <c r="U16" s="222">
        <f t="shared" si="7"/>
        <v>3.19</v>
      </c>
    </row>
    <row r="17" spans="1:21" s="13" customFormat="1">
      <c r="A17" s="175" t="s">
        <v>282</v>
      </c>
      <c r="B17" s="244">
        <v>11.5</v>
      </c>
      <c r="C17" s="244">
        <v>11.37</v>
      </c>
      <c r="D17" s="244">
        <v>11.27</v>
      </c>
      <c r="E17" s="244">
        <v>10.93</v>
      </c>
      <c r="F17" s="244">
        <v>10.07</v>
      </c>
      <c r="G17" s="244">
        <v>11.29</v>
      </c>
      <c r="H17" s="245"/>
      <c r="I17" s="244">
        <f>ROUND(B17*1.43,2)</f>
        <v>16.45</v>
      </c>
      <c r="J17" s="244">
        <f t="shared" si="5"/>
        <v>16.260000000000002</v>
      </c>
      <c r="K17" s="244">
        <f>ROUND(D17*1.43,2)</f>
        <v>16.12</v>
      </c>
      <c r="L17" s="244">
        <f t="shared" si="6"/>
        <v>15.63</v>
      </c>
      <c r="M17" s="244">
        <f t="shared" si="6"/>
        <v>14.4</v>
      </c>
      <c r="N17" s="244">
        <f t="shared" si="6"/>
        <v>16.14</v>
      </c>
      <c r="O17" s="245"/>
      <c r="P17" s="244">
        <f t="shared" si="7"/>
        <v>94.07</v>
      </c>
      <c r="Q17" s="244">
        <f t="shared" si="7"/>
        <v>93.01</v>
      </c>
      <c r="R17" s="244">
        <f t="shared" si="7"/>
        <v>92.19</v>
      </c>
      <c r="S17" s="244">
        <f t="shared" si="7"/>
        <v>89.41</v>
      </c>
      <c r="T17" s="244">
        <f>ROUND(F17*8.18,2)</f>
        <v>82.37</v>
      </c>
      <c r="U17" s="244">
        <f>ROUND(G17*8.18,2)</f>
        <v>92.35</v>
      </c>
    </row>
    <row r="18" spans="1:21" ht="12.75" customHeight="1">
      <c r="A18" s="152"/>
      <c r="B18" s="547" t="s">
        <v>307</v>
      </c>
      <c r="C18" s="547"/>
      <c r="D18" s="547"/>
      <c r="E18" s="547"/>
      <c r="F18" s="547"/>
      <c r="G18" s="547"/>
      <c r="H18" s="154"/>
      <c r="I18" s="547" t="s">
        <v>686</v>
      </c>
      <c r="J18" s="547"/>
      <c r="K18" s="547"/>
      <c r="L18" s="547"/>
      <c r="M18" s="547"/>
      <c r="N18" s="547"/>
      <c r="O18" s="154"/>
      <c r="P18" s="547" t="s">
        <v>687</v>
      </c>
      <c r="Q18" s="547"/>
      <c r="R18" s="547"/>
      <c r="S18" s="547"/>
      <c r="T18" s="547"/>
      <c r="U18" s="547"/>
    </row>
    <row r="19" spans="1:21">
      <c r="A19" s="123" t="s">
        <v>623</v>
      </c>
      <c r="B19" s="222">
        <v>8.43</v>
      </c>
      <c r="C19" s="222">
        <v>31.92</v>
      </c>
      <c r="D19" s="222">
        <v>31.74</v>
      </c>
      <c r="E19" s="222">
        <v>29.6</v>
      </c>
      <c r="F19" s="222">
        <v>28.91</v>
      </c>
      <c r="G19" s="222">
        <v>28.73</v>
      </c>
      <c r="H19" s="243"/>
      <c r="I19" s="222">
        <f>ROUNDUP(B19*1.43,2)</f>
        <v>12.06</v>
      </c>
      <c r="J19" s="222">
        <f>ROUNDDOWN(C19*1.43,2)</f>
        <v>45.64</v>
      </c>
      <c r="K19" s="222">
        <f t="shared" ref="K19:N24" si="8">ROUND(D19*1.43,2)</f>
        <v>45.39</v>
      </c>
      <c r="L19" s="222">
        <f t="shared" si="8"/>
        <v>42.33</v>
      </c>
      <c r="M19" s="222">
        <f t="shared" si="8"/>
        <v>41.34</v>
      </c>
      <c r="N19" s="222">
        <f t="shared" si="8"/>
        <v>41.08</v>
      </c>
      <c r="O19" s="243"/>
      <c r="P19" s="222">
        <f t="shared" ref="P19:U19" si="9">ROUND(B19*7.33,2)</f>
        <v>61.79</v>
      </c>
      <c r="Q19" s="222">
        <f t="shared" si="9"/>
        <v>233.97</v>
      </c>
      <c r="R19" s="222">
        <f t="shared" si="9"/>
        <v>232.65</v>
      </c>
      <c r="S19" s="222">
        <f t="shared" si="9"/>
        <v>216.97</v>
      </c>
      <c r="T19" s="222">
        <f t="shared" si="9"/>
        <v>211.91</v>
      </c>
      <c r="U19" s="222">
        <f t="shared" si="9"/>
        <v>210.59</v>
      </c>
    </row>
    <row r="20" spans="1:21">
      <c r="A20" s="123" t="s">
        <v>619</v>
      </c>
      <c r="B20" s="222">
        <v>0.09</v>
      </c>
      <c r="C20" s="222">
        <v>7.0000000000000007E-2</v>
      </c>
      <c r="D20" s="222">
        <v>0.08</v>
      </c>
      <c r="E20" s="222">
        <v>7.0000000000000007E-2</v>
      </c>
      <c r="F20" s="222">
        <v>0.06</v>
      </c>
      <c r="G20" s="222">
        <v>0.06</v>
      </c>
      <c r="H20" s="243"/>
      <c r="I20" s="222">
        <f t="shared" ref="I20:J24" si="10">ROUND(B20*1.43,2)</f>
        <v>0.13</v>
      </c>
      <c r="J20" s="222">
        <f t="shared" si="10"/>
        <v>0.1</v>
      </c>
      <c r="K20" s="222">
        <f t="shared" si="8"/>
        <v>0.11</v>
      </c>
      <c r="L20" s="222">
        <f t="shared" si="8"/>
        <v>0.1</v>
      </c>
      <c r="M20" s="222">
        <f t="shared" si="8"/>
        <v>0.09</v>
      </c>
      <c r="N20" s="222">
        <f t="shared" si="8"/>
        <v>0.09</v>
      </c>
      <c r="O20" s="243"/>
      <c r="P20" s="222">
        <f t="shared" ref="P20:Q24" si="11">ROUND(B20*7.33,2)</f>
        <v>0.66</v>
      </c>
      <c r="Q20" s="222">
        <f t="shared" si="11"/>
        <v>0.51</v>
      </c>
      <c r="R20" s="222">
        <f>ROUNDDOWN(D20*7.33,2)</f>
        <v>0.57999999999999996</v>
      </c>
      <c r="S20" s="222">
        <f>ROUNDUP(E20*7.33,2)</f>
        <v>0.52</v>
      </c>
      <c r="T20" s="222">
        <f t="shared" ref="T20:U24" si="12">ROUND(F20*7.33,2)</f>
        <v>0.44</v>
      </c>
      <c r="U20" s="222">
        <f t="shared" si="12"/>
        <v>0.44</v>
      </c>
    </row>
    <row r="21" spans="1:21">
      <c r="A21" s="123" t="s">
        <v>620</v>
      </c>
      <c r="B21" s="222">
        <v>0.12</v>
      </c>
      <c r="C21" s="222">
        <v>0.11</v>
      </c>
      <c r="D21" s="222">
        <v>0.08</v>
      </c>
      <c r="E21" s="222">
        <v>0.08</v>
      </c>
      <c r="F21" s="222">
        <v>0.12</v>
      </c>
      <c r="G21" s="222">
        <v>0.16</v>
      </c>
      <c r="H21" s="243"/>
      <c r="I21" s="222">
        <f t="shared" si="10"/>
        <v>0.17</v>
      </c>
      <c r="J21" s="222">
        <f t="shared" si="10"/>
        <v>0.16</v>
      </c>
      <c r="K21" s="222">
        <f t="shared" si="8"/>
        <v>0.11</v>
      </c>
      <c r="L21" s="222">
        <f t="shared" si="8"/>
        <v>0.11</v>
      </c>
      <c r="M21" s="222">
        <f t="shared" si="8"/>
        <v>0.17</v>
      </c>
      <c r="N21" s="222">
        <f t="shared" si="8"/>
        <v>0.23</v>
      </c>
      <c r="O21" s="243"/>
      <c r="P21" s="222">
        <f t="shared" si="11"/>
        <v>0.88</v>
      </c>
      <c r="Q21" s="222">
        <f t="shared" si="11"/>
        <v>0.81</v>
      </c>
      <c r="R21" s="222">
        <f t="shared" ref="R21:S24" si="13">ROUND(D21*7.33,2)</f>
        <v>0.59</v>
      </c>
      <c r="S21" s="222">
        <f t="shared" si="13"/>
        <v>0.59</v>
      </c>
      <c r="T21" s="222">
        <f t="shared" si="12"/>
        <v>0.88</v>
      </c>
      <c r="U21" s="222">
        <f t="shared" si="12"/>
        <v>1.17</v>
      </c>
    </row>
    <row r="22" spans="1:21">
      <c r="A22" s="123" t="s">
        <v>624</v>
      </c>
      <c r="B22" s="222">
        <v>0.56000000000000005</v>
      </c>
      <c r="C22" s="222">
        <v>0.6</v>
      </c>
      <c r="D22" s="222">
        <v>0.64</v>
      </c>
      <c r="E22" s="222">
        <v>0.68</v>
      </c>
      <c r="F22" s="222">
        <v>0.7</v>
      </c>
      <c r="G22" s="222">
        <v>0.69</v>
      </c>
      <c r="H22" s="243"/>
      <c r="I22" s="222">
        <f t="shared" si="10"/>
        <v>0.8</v>
      </c>
      <c r="J22" s="222">
        <f t="shared" si="10"/>
        <v>0.86</v>
      </c>
      <c r="K22" s="222">
        <f t="shared" si="8"/>
        <v>0.92</v>
      </c>
      <c r="L22" s="222">
        <f t="shared" si="8"/>
        <v>0.97</v>
      </c>
      <c r="M22" s="222">
        <f t="shared" si="8"/>
        <v>1</v>
      </c>
      <c r="N22" s="222">
        <f t="shared" si="8"/>
        <v>0.99</v>
      </c>
      <c r="O22" s="243"/>
      <c r="P22" s="222">
        <f t="shared" si="11"/>
        <v>4.0999999999999996</v>
      </c>
      <c r="Q22" s="222">
        <f t="shared" si="11"/>
        <v>4.4000000000000004</v>
      </c>
      <c r="R22" s="222">
        <f t="shared" si="13"/>
        <v>4.6900000000000004</v>
      </c>
      <c r="S22" s="222">
        <f t="shared" si="13"/>
        <v>4.9800000000000004</v>
      </c>
      <c r="T22" s="222">
        <f t="shared" si="12"/>
        <v>5.13</v>
      </c>
      <c r="U22" s="222">
        <f t="shared" si="12"/>
        <v>5.0599999999999996</v>
      </c>
    </row>
    <row r="23" spans="1:21" ht="13.8" thickBot="1">
      <c r="A23" s="123" t="s">
        <v>622</v>
      </c>
      <c r="B23" s="385">
        <v>0.28999999999999998</v>
      </c>
      <c r="C23" s="222">
        <v>1.32</v>
      </c>
      <c r="D23" s="222">
        <v>1.44</v>
      </c>
      <c r="E23" s="222">
        <v>1.62</v>
      </c>
      <c r="F23" s="222">
        <v>1.83</v>
      </c>
      <c r="G23" s="222">
        <v>2.37</v>
      </c>
      <c r="H23" s="243"/>
      <c r="I23" s="222">
        <f t="shared" si="10"/>
        <v>0.41</v>
      </c>
      <c r="J23" s="222">
        <f t="shared" si="10"/>
        <v>1.89</v>
      </c>
      <c r="K23" s="222">
        <f t="shared" si="8"/>
        <v>2.06</v>
      </c>
      <c r="L23" s="222">
        <f t="shared" si="8"/>
        <v>2.3199999999999998</v>
      </c>
      <c r="M23" s="222">
        <f t="shared" si="8"/>
        <v>2.62</v>
      </c>
      <c r="N23" s="222">
        <f>ROUNDDOWN(G23*1.43,2)</f>
        <v>3.38</v>
      </c>
      <c r="O23" s="243"/>
      <c r="P23" s="222">
        <f t="shared" si="11"/>
        <v>2.13</v>
      </c>
      <c r="Q23" s="222">
        <f t="shared" si="11"/>
        <v>9.68</v>
      </c>
      <c r="R23" s="222">
        <f t="shared" si="13"/>
        <v>10.56</v>
      </c>
      <c r="S23" s="222">
        <f t="shared" si="13"/>
        <v>11.87</v>
      </c>
      <c r="T23" s="222">
        <f t="shared" si="12"/>
        <v>13.41</v>
      </c>
      <c r="U23" s="222">
        <f t="shared" si="12"/>
        <v>17.37</v>
      </c>
    </row>
    <row r="24" spans="1:21" ht="12.75" customHeight="1">
      <c r="A24" s="175" t="s">
        <v>282</v>
      </c>
      <c r="B24" s="244">
        <v>9.49</v>
      </c>
      <c r="C24" s="244">
        <v>34.020000000000003</v>
      </c>
      <c r="D24" s="244">
        <v>33.979999999999997</v>
      </c>
      <c r="E24" s="244">
        <v>32.049999999999997</v>
      </c>
      <c r="F24" s="244">
        <v>31.62</v>
      </c>
      <c r="G24" s="244">
        <v>32.01</v>
      </c>
      <c r="H24" s="245"/>
      <c r="I24" s="244">
        <f t="shared" si="10"/>
        <v>13.57</v>
      </c>
      <c r="J24" s="244">
        <f t="shared" si="10"/>
        <v>48.65</v>
      </c>
      <c r="K24" s="244">
        <f t="shared" si="8"/>
        <v>48.59</v>
      </c>
      <c r="L24" s="244">
        <f t="shared" si="8"/>
        <v>45.83</v>
      </c>
      <c r="M24" s="244">
        <f t="shared" si="8"/>
        <v>45.22</v>
      </c>
      <c r="N24" s="244">
        <f t="shared" si="8"/>
        <v>45.77</v>
      </c>
      <c r="O24" s="245"/>
      <c r="P24" s="244">
        <f t="shared" si="11"/>
        <v>69.56</v>
      </c>
      <c r="Q24" s="244">
        <f t="shared" si="11"/>
        <v>249.37</v>
      </c>
      <c r="R24" s="244">
        <f t="shared" si="13"/>
        <v>249.07</v>
      </c>
      <c r="S24" s="244">
        <f t="shared" si="13"/>
        <v>234.93</v>
      </c>
      <c r="T24" s="244">
        <f t="shared" si="12"/>
        <v>231.77</v>
      </c>
      <c r="U24" s="244">
        <f t="shared" si="12"/>
        <v>234.63</v>
      </c>
    </row>
    <row r="25" spans="1:21" s="13" customFormat="1" ht="12.75" customHeight="1">
      <c r="A25" s="152"/>
      <c r="B25" s="152"/>
      <c r="C25" s="152"/>
      <c r="D25" s="152"/>
      <c r="E25" s="152"/>
      <c r="F25" s="152"/>
      <c r="G25" s="152"/>
      <c r="H25" s="154"/>
      <c r="I25" s="547" t="s">
        <v>688</v>
      </c>
      <c r="J25" s="547"/>
      <c r="K25" s="547"/>
      <c r="L25" s="547"/>
      <c r="M25" s="547"/>
      <c r="N25" s="547"/>
      <c r="O25" s="154"/>
      <c r="P25" s="547" t="s">
        <v>689</v>
      </c>
      <c r="Q25" s="547"/>
      <c r="R25" s="547"/>
      <c r="S25" s="547"/>
      <c r="T25" s="547"/>
      <c r="U25" s="547"/>
    </row>
    <row r="26" spans="1:21">
      <c r="A26" s="123" t="s">
        <v>623</v>
      </c>
      <c r="B26" s="246" t="s">
        <v>193</v>
      </c>
      <c r="C26" s="246" t="s">
        <v>193</v>
      </c>
      <c r="D26" s="246" t="s">
        <v>193</v>
      </c>
      <c r="E26" s="246" t="s">
        <v>193</v>
      </c>
      <c r="F26" s="246" t="s">
        <v>193</v>
      </c>
      <c r="G26" s="246" t="s">
        <v>193</v>
      </c>
      <c r="H26" s="243"/>
      <c r="I26" s="247">
        <f t="shared" ref="I26:N31" si="14">I5+I12+I19</f>
        <v>617.1099999999999</v>
      </c>
      <c r="J26" s="247">
        <f t="shared" si="14"/>
        <v>652.27</v>
      </c>
      <c r="K26" s="247">
        <f t="shared" si="14"/>
        <v>643.49</v>
      </c>
      <c r="L26" s="247">
        <f t="shared" si="14"/>
        <v>641.88</v>
      </c>
      <c r="M26" s="247">
        <f t="shared" si="14"/>
        <v>543.24</v>
      </c>
      <c r="N26" s="247">
        <f t="shared" si="14"/>
        <v>594.44999999999993</v>
      </c>
      <c r="O26" s="243"/>
      <c r="P26" s="247">
        <f t="shared" ref="P26:U31" si="15">P5+P12+P19</f>
        <v>3155.52</v>
      </c>
      <c r="Q26" s="247">
        <f t="shared" si="15"/>
        <v>3335.74</v>
      </c>
      <c r="R26" s="247">
        <f t="shared" si="15"/>
        <v>3290.7900000000004</v>
      </c>
      <c r="S26" s="247">
        <f t="shared" si="15"/>
        <v>3282.33</v>
      </c>
      <c r="T26" s="247">
        <f t="shared" si="15"/>
        <v>2778.93</v>
      </c>
      <c r="U26" s="247">
        <f t="shared" si="15"/>
        <v>3040.59</v>
      </c>
    </row>
    <row r="27" spans="1:21">
      <c r="A27" s="123" t="s">
        <v>619</v>
      </c>
      <c r="B27" s="246" t="s">
        <v>193</v>
      </c>
      <c r="C27" s="246" t="s">
        <v>193</v>
      </c>
      <c r="D27" s="246" t="s">
        <v>193</v>
      </c>
      <c r="E27" s="246" t="s">
        <v>193</v>
      </c>
      <c r="F27" s="246" t="s">
        <v>193</v>
      </c>
      <c r="G27" s="246" t="s">
        <v>193</v>
      </c>
      <c r="H27" s="243"/>
      <c r="I27" s="247">
        <f t="shared" si="14"/>
        <v>3.7399999999999998</v>
      </c>
      <c r="J27" s="247">
        <f t="shared" si="14"/>
        <v>3.6</v>
      </c>
      <c r="K27" s="247">
        <f t="shared" si="14"/>
        <v>3.5799999999999996</v>
      </c>
      <c r="L27" s="247">
        <f t="shared" si="14"/>
        <v>3.42</v>
      </c>
      <c r="M27" s="247">
        <f t="shared" si="14"/>
        <v>3.26</v>
      </c>
      <c r="N27" s="247">
        <f t="shared" si="14"/>
        <v>3.21</v>
      </c>
      <c r="O27" s="243"/>
      <c r="P27" s="247">
        <f t="shared" si="15"/>
        <v>19.32</v>
      </c>
      <c r="Q27" s="247">
        <f t="shared" si="15"/>
        <v>18.59</v>
      </c>
      <c r="R27" s="247">
        <f t="shared" si="15"/>
        <v>18.499999999999996</v>
      </c>
      <c r="S27" s="247">
        <f t="shared" si="15"/>
        <v>17.62</v>
      </c>
      <c r="T27" s="247">
        <f t="shared" si="15"/>
        <v>16.790000000000003</v>
      </c>
      <c r="U27" s="247">
        <f t="shared" si="15"/>
        <v>16.510000000000002</v>
      </c>
    </row>
    <row r="28" spans="1:21">
      <c r="A28" s="123" t="s">
        <v>620</v>
      </c>
      <c r="B28" s="246" t="s">
        <v>193</v>
      </c>
      <c r="C28" s="246" t="s">
        <v>193</v>
      </c>
      <c r="D28" s="246" t="s">
        <v>193</v>
      </c>
      <c r="E28" s="246" t="s">
        <v>193</v>
      </c>
      <c r="F28" s="246" t="s">
        <v>193</v>
      </c>
      <c r="G28" s="246" t="s">
        <v>193</v>
      </c>
      <c r="H28" s="243"/>
      <c r="I28" s="247">
        <f t="shared" si="14"/>
        <v>21.87</v>
      </c>
      <c r="J28" s="247">
        <f t="shared" si="14"/>
        <v>21.66</v>
      </c>
      <c r="K28" s="247">
        <f t="shared" si="14"/>
        <v>21.65</v>
      </c>
      <c r="L28" s="247">
        <f t="shared" si="14"/>
        <v>21.47</v>
      </c>
      <c r="M28" s="247">
        <f t="shared" si="14"/>
        <v>17.380000000000003</v>
      </c>
      <c r="N28" s="247">
        <f t="shared" si="14"/>
        <v>21.16</v>
      </c>
      <c r="O28" s="243"/>
      <c r="P28" s="247">
        <f t="shared" si="15"/>
        <v>115.37</v>
      </c>
      <c r="Q28" s="247">
        <f t="shared" si="15"/>
        <v>114.27000000000001</v>
      </c>
      <c r="R28" s="247">
        <f t="shared" si="15"/>
        <v>114.27000000000001</v>
      </c>
      <c r="S28" s="247">
        <f t="shared" si="15"/>
        <v>113.36000000000001</v>
      </c>
      <c r="T28" s="247">
        <f t="shared" si="15"/>
        <v>91.649999999999991</v>
      </c>
      <c r="U28" s="247">
        <f t="shared" si="15"/>
        <v>111.66</v>
      </c>
    </row>
    <row r="29" spans="1:21">
      <c r="A29" s="123" t="s">
        <v>624</v>
      </c>
      <c r="B29" s="246" t="s">
        <v>193</v>
      </c>
      <c r="C29" s="246" t="s">
        <v>193</v>
      </c>
      <c r="D29" s="246" t="s">
        <v>193</v>
      </c>
      <c r="E29" s="246" t="s">
        <v>193</v>
      </c>
      <c r="F29" s="246" t="s">
        <v>193</v>
      </c>
      <c r="G29" s="246" t="s">
        <v>193</v>
      </c>
      <c r="H29" s="243"/>
      <c r="I29" s="247">
        <f t="shared" si="14"/>
        <v>22.790000000000003</v>
      </c>
      <c r="J29" s="247">
        <f t="shared" si="14"/>
        <v>22.76</v>
      </c>
      <c r="K29" s="247">
        <f t="shared" si="14"/>
        <v>22.9</v>
      </c>
      <c r="L29" s="247">
        <f t="shared" si="14"/>
        <v>22.95</v>
      </c>
      <c r="M29" s="247">
        <f t="shared" si="14"/>
        <v>21.970000000000002</v>
      </c>
      <c r="N29" s="247">
        <f t="shared" si="14"/>
        <v>22.83</v>
      </c>
      <c r="O29" s="243"/>
      <c r="P29" s="247">
        <f t="shared" si="15"/>
        <v>116.57</v>
      </c>
      <c r="Q29" s="247">
        <f t="shared" si="15"/>
        <v>116.4</v>
      </c>
      <c r="R29" s="247">
        <f t="shared" si="15"/>
        <v>117.12</v>
      </c>
      <c r="S29" s="247">
        <f t="shared" si="15"/>
        <v>117.39</v>
      </c>
      <c r="T29" s="247">
        <f t="shared" si="15"/>
        <v>112.39999999999999</v>
      </c>
      <c r="U29" s="247">
        <f t="shared" si="15"/>
        <v>116.77</v>
      </c>
    </row>
    <row r="30" spans="1:21" ht="13.8" thickBot="1">
      <c r="A30" s="123" t="s">
        <v>622</v>
      </c>
      <c r="B30" s="246" t="s">
        <v>193</v>
      </c>
      <c r="C30" s="246" t="s">
        <v>193</v>
      </c>
      <c r="D30" s="246" t="s">
        <v>193</v>
      </c>
      <c r="E30" s="246" t="s">
        <v>193</v>
      </c>
      <c r="F30" s="246" t="s">
        <v>193</v>
      </c>
      <c r="G30" s="246" t="s">
        <v>193</v>
      </c>
      <c r="H30" s="243"/>
      <c r="I30" s="247">
        <f t="shared" si="14"/>
        <v>4.9799999999999995</v>
      </c>
      <c r="J30" s="247">
        <f t="shared" si="14"/>
        <v>6.1899999999999995</v>
      </c>
      <c r="K30" s="247">
        <f t="shared" si="14"/>
        <v>6.1199999999999992</v>
      </c>
      <c r="L30" s="247">
        <f t="shared" si="14"/>
        <v>6.13</v>
      </c>
      <c r="M30" s="247">
        <f t="shared" si="14"/>
        <v>6.3599999999999994</v>
      </c>
      <c r="N30" s="247">
        <f t="shared" si="14"/>
        <v>7.17</v>
      </c>
      <c r="O30" s="243"/>
      <c r="P30" s="247">
        <f t="shared" si="15"/>
        <v>25.8</v>
      </c>
      <c r="Q30" s="247">
        <f t="shared" si="15"/>
        <v>31.93</v>
      </c>
      <c r="R30" s="247">
        <f t="shared" si="15"/>
        <v>31.54</v>
      </c>
      <c r="S30" s="247">
        <f t="shared" si="15"/>
        <v>31.549999999999997</v>
      </c>
      <c r="T30" s="247">
        <f t="shared" si="15"/>
        <v>32.72</v>
      </c>
      <c r="U30" s="247">
        <f t="shared" si="15"/>
        <v>37.049999999999997</v>
      </c>
    </row>
    <row r="31" spans="1:21" ht="13.8" thickBot="1">
      <c r="A31" s="175" t="s">
        <v>282</v>
      </c>
      <c r="B31" s="248" t="s">
        <v>193</v>
      </c>
      <c r="C31" s="248" t="s">
        <v>193</v>
      </c>
      <c r="D31" s="248" t="s">
        <v>193</v>
      </c>
      <c r="E31" s="248" t="s">
        <v>193</v>
      </c>
      <c r="F31" s="248" t="s">
        <v>193</v>
      </c>
      <c r="G31" s="248" t="s">
        <v>193</v>
      </c>
      <c r="H31" s="245"/>
      <c r="I31" s="249">
        <f t="shared" si="14"/>
        <v>670.49000000000012</v>
      </c>
      <c r="J31" s="249">
        <f t="shared" si="14"/>
        <v>706.48</v>
      </c>
      <c r="K31" s="249">
        <f t="shared" si="14"/>
        <v>697.74</v>
      </c>
      <c r="L31" s="249">
        <f t="shared" si="14"/>
        <v>695.85</v>
      </c>
      <c r="M31" s="249">
        <f t="shared" si="14"/>
        <v>592.21</v>
      </c>
      <c r="N31" s="249">
        <f t="shared" si="14"/>
        <v>648.81999999999994</v>
      </c>
      <c r="O31" s="245"/>
      <c r="P31" s="249">
        <f t="shared" si="15"/>
        <v>3432.58</v>
      </c>
      <c r="Q31" s="249">
        <f t="shared" si="15"/>
        <v>3616.9300000000003</v>
      </c>
      <c r="R31" s="249">
        <f t="shared" si="15"/>
        <v>3572.2200000000003</v>
      </c>
      <c r="S31" s="249">
        <f t="shared" si="15"/>
        <v>3562.2499999999995</v>
      </c>
      <c r="T31" s="249">
        <f t="shared" si="15"/>
        <v>3032.49</v>
      </c>
      <c r="U31" s="249">
        <f t="shared" si="15"/>
        <v>3322.58</v>
      </c>
    </row>
    <row r="32" spans="1:21" ht="13.8" thickTop="1">
      <c r="A32" s="189"/>
      <c r="B32" s="250"/>
      <c r="C32" s="250"/>
      <c r="D32" s="250"/>
      <c r="E32" s="250"/>
      <c r="F32" s="250"/>
      <c r="G32" s="250"/>
      <c r="H32" s="250"/>
      <c r="I32" s="250"/>
      <c r="J32" s="250"/>
      <c r="K32" s="250"/>
      <c r="L32" s="250"/>
      <c r="M32" s="250"/>
      <c r="N32" s="250"/>
      <c r="O32" s="250"/>
      <c r="P32" s="250"/>
      <c r="Q32" s="250"/>
      <c r="R32" s="250"/>
      <c r="S32" s="250"/>
      <c r="T32" s="250"/>
      <c r="U32" s="250"/>
    </row>
    <row r="33" spans="1:21" s="13" customFormat="1">
      <c r="A33" s="530" t="s">
        <v>213</v>
      </c>
      <c r="B33" s="530"/>
      <c r="C33" s="530"/>
      <c r="D33" s="530"/>
      <c r="E33" s="530"/>
      <c r="F33" s="530"/>
      <c r="G33" s="530"/>
      <c r="H33" s="530"/>
      <c r="I33" s="12"/>
      <c r="J33" s="12"/>
      <c r="K33" s="12"/>
      <c r="L33" s="12"/>
      <c r="M33" s="12"/>
      <c r="N33" s="12"/>
      <c r="O33" s="12"/>
      <c r="P33" s="12"/>
      <c r="Q33" s="12"/>
      <c r="R33" s="12"/>
      <c r="S33" s="12"/>
      <c r="T33" s="12"/>
      <c r="U33" s="12"/>
    </row>
    <row r="34" spans="1:21" hidden="1"/>
    <row r="35" spans="1:21" hidden="1"/>
    <row r="36" spans="1:21" hidden="1"/>
    <row r="37" spans="1:21" hidden="1"/>
  </sheetData>
  <sheetProtection password="CAF1" sheet="1" formatCells="0" formatColumns="0" formatRows="0" insertColumns="0" insertRows="0" insertHyperlinks="0" deleteColumns="0" deleteRows="0" sort="0" autoFilter="0" pivotTables="0"/>
  <mergeCells count="15">
    <mergeCell ref="A33:H33"/>
    <mergeCell ref="B11:G11"/>
    <mergeCell ref="B18:G18"/>
    <mergeCell ref="P11:U11"/>
    <mergeCell ref="I18:N18"/>
    <mergeCell ref="P18:U18"/>
    <mergeCell ref="I25:N25"/>
    <mergeCell ref="P25:U25"/>
    <mergeCell ref="I11:N11"/>
    <mergeCell ref="P2:T2"/>
    <mergeCell ref="B4:G4"/>
    <mergeCell ref="P4:U4"/>
    <mergeCell ref="I4:N4"/>
    <mergeCell ref="B2:F2"/>
    <mergeCell ref="I2:M2"/>
  </mergeCells>
  <phoneticPr fontId="7" type="noConversion"/>
  <hyperlinks>
    <hyperlink ref="A33:H33"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worksheet>
</file>

<file path=xl/worksheets/sheet16.xml><?xml version="1.0" encoding="utf-8"?>
<worksheet xmlns="http://schemas.openxmlformats.org/spreadsheetml/2006/main" xmlns:r="http://schemas.openxmlformats.org/officeDocument/2006/relationships">
  <dimension ref="A1:T74"/>
  <sheetViews>
    <sheetView zoomScaleNormal="100" zoomScaleSheetLayoutView="100" workbookViewId="0"/>
  </sheetViews>
  <sheetFormatPr defaultColWidth="0" defaultRowHeight="13.2" zeroHeight="1" outlineLevelCol="1"/>
  <cols>
    <col min="1" max="1" width="54.6640625" style="4" customWidth="1"/>
    <col min="2" max="2" width="0" style="4" hidden="1" customWidth="1" outlineLevel="1"/>
    <col min="3" max="3" width="9.33203125" style="4" customWidth="1" collapsed="1"/>
    <col min="4" max="7" width="9.33203125" style="4" customWidth="1"/>
    <col min="8" max="16384" width="0" style="4" hidden="1"/>
  </cols>
  <sheetData>
    <row r="1" spans="1:20" ht="15.6">
      <c r="A1" s="48" t="s">
        <v>690</v>
      </c>
      <c r="B1" s="28"/>
      <c r="C1" s="28"/>
      <c r="D1" s="28"/>
      <c r="E1" s="28"/>
      <c r="F1" s="28"/>
      <c r="G1" s="28"/>
    </row>
    <row r="2" spans="1:20" ht="21" customHeight="1">
      <c r="A2" s="251" t="s">
        <v>691</v>
      </c>
      <c r="B2" s="28"/>
      <c r="C2" s="28"/>
      <c r="D2" s="28"/>
      <c r="E2" s="28"/>
      <c r="F2" s="28"/>
      <c r="G2" s="28"/>
    </row>
    <row r="3" spans="1:20" ht="15.75" customHeight="1">
      <c r="A3" s="49"/>
      <c r="B3" s="49"/>
      <c r="C3" s="49"/>
      <c r="D3" s="49"/>
      <c r="E3" s="49"/>
      <c r="F3" s="49"/>
      <c r="G3" s="49"/>
      <c r="H3" s="582"/>
      <c r="I3" s="582"/>
      <c r="J3" s="582"/>
      <c r="K3" s="582"/>
      <c r="L3" s="582"/>
      <c r="M3" s="582"/>
      <c r="N3" s="582"/>
    </row>
    <row r="4" spans="1:20" ht="24.9" customHeight="1">
      <c r="A4" s="49"/>
      <c r="B4" s="49"/>
      <c r="C4" s="49"/>
      <c r="D4" s="49"/>
      <c r="E4" s="49"/>
      <c r="F4" s="49"/>
      <c r="G4" s="49"/>
      <c r="H4" s="582"/>
      <c r="I4" s="582"/>
      <c r="J4" s="582"/>
      <c r="K4" s="582"/>
      <c r="L4" s="582"/>
      <c r="M4" s="582"/>
      <c r="N4" s="582"/>
    </row>
    <row r="5" spans="1:20" ht="24.9" customHeight="1">
      <c r="A5" s="49"/>
      <c r="B5" s="49"/>
      <c r="C5" s="49"/>
      <c r="D5" s="49"/>
      <c r="E5" s="49"/>
      <c r="F5" s="49"/>
      <c r="G5" s="49"/>
      <c r="H5" s="582"/>
      <c r="I5" s="582"/>
      <c r="J5" s="582"/>
      <c r="K5" s="582"/>
      <c r="L5" s="582"/>
      <c r="M5" s="582"/>
      <c r="N5" s="582"/>
    </row>
    <row r="6" spans="1:20" ht="24.9" customHeight="1">
      <c r="A6" s="49"/>
      <c r="B6" s="49"/>
      <c r="C6" s="49"/>
      <c r="D6" s="49"/>
      <c r="E6" s="49"/>
      <c r="F6" s="49"/>
      <c r="G6" s="49"/>
      <c r="H6" s="582"/>
      <c r="I6" s="582"/>
      <c r="J6" s="582"/>
      <c r="K6" s="582"/>
      <c r="L6" s="582"/>
      <c r="M6" s="582"/>
      <c r="N6" s="582"/>
    </row>
    <row r="7" spans="1:20" ht="24.9" customHeight="1">
      <c r="A7" s="49"/>
      <c r="B7" s="49"/>
      <c r="C7" s="49"/>
      <c r="D7" s="49"/>
      <c r="E7" s="49"/>
      <c r="F7" s="49"/>
      <c r="G7" s="49"/>
      <c r="H7" s="582"/>
      <c r="I7" s="582"/>
      <c r="J7" s="582"/>
      <c r="K7" s="582"/>
      <c r="L7" s="582"/>
      <c r="M7" s="582"/>
      <c r="N7" s="582"/>
    </row>
    <row r="8" spans="1:20" ht="24.9" customHeight="1">
      <c r="A8" s="49"/>
      <c r="B8" s="49"/>
      <c r="C8" s="49"/>
      <c r="D8" s="49"/>
      <c r="E8" s="49"/>
      <c r="F8" s="49"/>
      <c r="G8" s="49"/>
      <c r="H8" s="582"/>
      <c r="I8" s="582"/>
      <c r="J8" s="582"/>
      <c r="K8" s="582"/>
      <c r="L8" s="582"/>
      <c r="M8" s="582"/>
      <c r="N8" s="582"/>
    </row>
    <row r="9" spans="1:20" ht="24.9" customHeight="1">
      <c r="A9" s="49"/>
      <c r="B9" s="49"/>
      <c r="C9" s="49"/>
      <c r="D9" s="49"/>
      <c r="E9" s="49"/>
      <c r="F9" s="49"/>
      <c r="G9" s="49"/>
      <c r="H9" s="582"/>
      <c r="I9" s="582"/>
      <c r="J9" s="582"/>
      <c r="K9" s="582"/>
      <c r="L9" s="582"/>
      <c r="M9" s="582"/>
      <c r="N9" s="582"/>
    </row>
    <row r="10" spans="1:20" ht="24.9" customHeight="1">
      <c r="A10" s="49"/>
      <c r="B10" s="49"/>
      <c r="C10" s="49"/>
      <c r="D10" s="49"/>
      <c r="E10" s="49"/>
      <c r="F10" s="49"/>
      <c r="G10" s="49"/>
      <c r="H10" s="582"/>
      <c r="I10" s="582"/>
      <c r="J10" s="582"/>
      <c r="K10" s="582"/>
      <c r="L10" s="582"/>
      <c r="M10" s="582"/>
      <c r="N10" s="582"/>
    </row>
    <row r="11" spans="1:20" ht="24.9" customHeight="1">
      <c r="A11" s="49"/>
      <c r="B11" s="49"/>
      <c r="C11" s="49"/>
      <c r="D11" s="49"/>
      <c r="E11" s="49"/>
      <c r="F11" s="49"/>
      <c r="G11" s="49"/>
      <c r="H11" s="582"/>
      <c r="I11" s="582"/>
      <c r="J11" s="582"/>
      <c r="K11" s="582"/>
      <c r="L11" s="582"/>
      <c r="M11" s="582"/>
      <c r="N11" s="582"/>
      <c r="T11"/>
    </row>
    <row r="12" spans="1:20" ht="24.9" customHeight="1">
      <c r="A12" s="49"/>
      <c r="B12" s="49"/>
      <c r="C12" s="49"/>
      <c r="D12" s="49"/>
      <c r="E12" s="49"/>
      <c r="F12" s="49"/>
      <c r="G12" s="49"/>
      <c r="H12" s="582"/>
      <c r="I12" s="582"/>
      <c r="J12" s="582"/>
      <c r="K12" s="582"/>
      <c r="L12" s="582"/>
      <c r="M12" s="582"/>
      <c r="N12" s="582"/>
    </row>
    <row r="13" spans="1:20" ht="24.9" customHeight="1">
      <c r="A13" s="49"/>
      <c r="B13" s="49"/>
      <c r="C13" s="49"/>
      <c r="D13" s="49"/>
      <c r="E13" s="49"/>
      <c r="F13" s="49"/>
      <c r="G13" s="49"/>
      <c r="H13" s="582"/>
      <c r="I13" s="582"/>
      <c r="J13" s="582"/>
      <c r="K13" s="582"/>
      <c r="L13" s="582"/>
      <c r="M13" s="582"/>
      <c r="N13" s="582"/>
    </row>
    <row r="14" spans="1:20" ht="24.9" customHeight="1">
      <c r="A14" s="49"/>
      <c r="B14" s="49"/>
      <c r="C14" s="49"/>
      <c r="D14" s="49"/>
      <c r="E14" s="49"/>
      <c r="F14" s="49"/>
      <c r="G14" s="49"/>
      <c r="H14" s="582"/>
      <c r="I14" s="582"/>
      <c r="J14" s="582"/>
      <c r="K14" s="582"/>
      <c r="L14" s="582"/>
      <c r="M14" s="582"/>
      <c r="N14" s="582"/>
    </row>
    <row r="15" spans="1:20" ht="23.25" customHeight="1">
      <c r="A15" s="49"/>
      <c r="B15" s="49"/>
      <c r="C15" s="49"/>
      <c r="D15" s="49"/>
      <c r="E15" s="49"/>
      <c r="F15" s="49"/>
      <c r="G15" s="49"/>
      <c r="H15" s="582"/>
      <c r="I15" s="582"/>
      <c r="J15" s="582"/>
      <c r="K15" s="582"/>
      <c r="L15" s="582"/>
      <c r="M15" s="582"/>
      <c r="N15" s="582"/>
    </row>
    <row r="16" spans="1:20" ht="22.5" customHeight="1">
      <c r="A16" s="552" t="s">
        <v>692</v>
      </c>
      <c r="B16" s="552"/>
      <c r="C16" s="552"/>
      <c r="D16" s="552"/>
      <c r="E16" s="552"/>
      <c r="F16" s="552"/>
      <c r="G16" s="183"/>
    </row>
    <row r="17" spans="1:18" ht="13.2" customHeight="1">
      <c r="A17" s="29"/>
      <c r="B17" s="531" t="s">
        <v>700</v>
      </c>
      <c r="C17" s="531"/>
      <c r="D17" s="531"/>
      <c r="E17" s="531"/>
      <c r="F17" s="531"/>
      <c r="G17" s="531"/>
    </row>
    <row r="18" spans="1:18" ht="51.6">
      <c r="A18" s="29"/>
      <c r="B18" s="29" t="s">
        <v>1089</v>
      </c>
      <c r="C18" s="29">
        <v>2006</v>
      </c>
      <c r="D18" s="29">
        <v>2007</v>
      </c>
      <c r="E18" s="29">
        <v>2008</v>
      </c>
      <c r="F18" s="29">
        <v>2009</v>
      </c>
      <c r="G18" s="29">
        <v>2010</v>
      </c>
    </row>
    <row r="19" spans="1:18">
      <c r="A19" s="52" t="s">
        <v>693</v>
      </c>
      <c r="B19" s="108">
        <v>136.30000000000001</v>
      </c>
      <c r="C19" s="108">
        <v>177.7</v>
      </c>
      <c r="D19" s="108">
        <v>207.6</v>
      </c>
      <c r="E19" s="108">
        <v>284.89999999999998</v>
      </c>
      <c r="F19" s="108">
        <v>163.69999999999999</v>
      </c>
      <c r="G19" s="108">
        <v>204.9</v>
      </c>
    </row>
    <row r="20" spans="1:18">
      <c r="A20" s="52" t="s">
        <v>694</v>
      </c>
      <c r="B20" s="108">
        <v>44</v>
      </c>
      <c r="C20" s="108">
        <v>62</v>
      </c>
      <c r="D20" s="108">
        <v>39</v>
      </c>
      <c r="E20" s="108">
        <v>80</v>
      </c>
      <c r="F20" s="108">
        <v>75</v>
      </c>
      <c r="G20" s="108">
        <v>82</v>
      </c>
    </row>
    <row r="21" spans="1:18" ht="13.8" thickBot="1">
      <c r="A21" s="33" t="s">
        <v>695</v>
      </c>
      <c r="B21" s="109">
        <v>35</v>
      </c>
      <c r="C21" s="109">
        <v>50</v>
      </c>
      <c r="D21" s="109">
        <v>20</v>
      </c>
      <c r="E21" s="109">
        <v>50</v>
      </c>
      <c r="F21" s="109">
        <v>43</v>
      </c>
      <c r="G21" s="109">
        <v>64</v>
      </c>
    </row>
    <row r="22" spans="1:18">
      <c r="A22" s="58" t="s">
        <v>696</v>
      </c>
      <c r="B22" s="252">
        <v>9.8000000000000007</v>
      </c>
      <c r="C22" s="252">
        <v>9.1999999999999993</v>
      </c>
      <c r="D22" s="252">
        <v>6.4</v>
      </c>
      <c r="E22" s="252">
        <v>12.4</v>
      </c>
      <c r="F22" s="252">
        <v>14.7</v>
      </c>
      <c r="G22" s="252">
        <v>18.5</v>
      </c>
    </row>
    <row r="23" spans="1:18" ht="13.8" thickBot="1">
      <c r="A23" s="63" t="s">
        <v>697</v>
      </c>
      <c r="B23" s="253">
        <v>3.2</v>
      </c>
      <c r="C23" s="253">
        <v>7.9</v>
      </c>
      <c r="D23" s="253">
        <v>5.7</v>
      </c>
      <c r="E23" s="253">
        <v>6.6</v>
      </c>
      <c r="F23" s="253">
        <v>9.5</v>
      </c>
      <c r="G23" s="253">
        <v>10.8</v>
      </c>
    </row>
    <row r="24" spans="1:18">
      <c r="A24" s="40" t="s">
        <v>698</v>
      </c>
      <c r="B24" s="110">
        <f>ROUND((B31*1.154+B32*1.43+B33*1.43)/B19*1000,1)</f>
        <v>5286.7</v>
      </c>
      <c r="C24" s="110">
        <f>ROUND((C31*1.154+C32*1.43+C33*1.43)/C19*1000,1)</f>
        <v>4311.3</v>
      </c>
      <c r="D24" s="110">
        <f>ROUND((D31*1.154+D32*1.43+D33*1.43)/D19*1000,1)</f>
        <v>3495.2</v>
      </c>
      <c r="E24" s="110">
        <f>ROUND((E31*1.154+E32*1.43+E33*1.43)/E19*1000,1)</f>
        <v>2669.3</v>
      </c>
      <c r="F24" s="110">
        <f>ROUND((F31*1.154+F32*1.43+F33*1.43)/F19*1000,1)</f>
        <v>4143.8</v>
      </c>
      <c r="G24" s="110">
        <f>ROUND((G31*1.154+(G32+G33)*1.43)*1000/G19,1)</f>
        <v>3890.7</v>
      </c>
    </row>
    <row r="25" spans="1:18" ht="13.8" thickBot="1">
      <c r="A25" s="69" t="s">
        <v>699</v>
      </c>
      <c r="B25" s="383">
        <f>ROUND((B31*5.89+B32*8.18+B33*7.33)/B19*1000,1)</f>
        <v>27087.5</v>
      </c>
      <c r="C25" s="142">
        <f>ROUND((C31*5.89+C32*8.18+C33*7.33)/C19*1000,1)</f>
        <v>22072.3</v>
      </c>
      <c r="D25" s="142">
        <f>ROUND((D31*5.89+D32*8.18+D33*7.33)/D19*1000,1)</f>
        <v>17883.8</v>
      </c>
      <c r="E25" s="142">
        <f>ROUND((E31*5.89+E32*8.18+E33*7.33)/E19*1000,1)</f>
        <v>13651.2</v>
      </c>
      <c r="F25" s="142">
        <f>ROUND((F31*5.89+F32*8.18+F33*7.33)/F19*1000,1)</f>
        <v>21368.6</v>
      </c>
      <c r="G25" s="142">
        <f>ROUND((G31*5.89+G32*8.18+G33*7.33)*1000/G19,1)</f>
        <v>20009.900000000001</v>
      </c>
      <c r="H25" s="384"/>
      <c r="I25" s="384"/>
      <c r="J25" s="384"/>
      <c r="K25" s="384"/>
      <c r="L25" s="384"/>
      <c r="M25" s="384"/>
      <c r="N25" s="384"/>
      <c r="O25" s="384"/>
      <c r="P25" s="384"/>
      <c r="Q25" s="384"/>
      <c r="R25" s="384"/>
    </row>
    <row r="26" spans="1:18" ht="13.8" thickTop="1">
      <c r="A26" s="97"/>
      <c r="B26" s="28"/>
      <c r="C26" s="28"/>
      <c r="D26" s="28"/>
      <c r="E26" s="28"/>
      <c r="F26" s="28"/>
      <c r="G26" s="28"/>
    </row>
    <row r="27" spans="1:18" ht="31.5" customHeight="1">
      <c r="A27" s="183" t="s">
        <v>701</v>
      </c>
      <c r="B27" s="183"/>
      <c r="C27" s="183"/>
      <c r="D27" s="183"/>
      <c r="E27" s="183"/>
      <c r="F27" s="183"/>
      <c r="G27" s="183"/>
    </row>
    <row r="28" spans="1:18" ht="13.2" customHeight="1">
      <c r="A28" s="117"/>
      <c r="B28" s="29" t="s">
        <v>700</v>
      </c>
      <c r="C28" s="29"/>
      <c r="D28" s="29"/>
      <c r="E28" s="29"/>
      <c r="F28" s="29"/>
      <c r="G28" s="29"/>
    </row>
    <row r="29" spans="1:18">
      <c r="A29" s="117"/>
      <c r="B29" s="29">
        <v>2005</v>
      </c>
      <c r="C29" s="29">
        <v>2006</v>
      </c>
      <c r="D29" s="29">
        <v>2007</v>
      </c>
      <c r="E29" s="29">
        <v>2008</v>
      </c>
      <c r="F29" s="29">
        <v>2009</v>
      </c>
      <c r="G29" s="29">
        <v>2010</v>
      </c>
    </row>
    <row r="30" spans="1:18">
      <c r="A30" s="144" t="s">
        <v>705</v>
      </c>
      <c r="B30" s="119"/>
      <c r="C30" s="119"/>
      <c r="D30" s="119"/>
      <c r="E30" s="119"/>
      <c r="F30" s="119"/>
      <c r="G30" s="119"/>
    </row>
    <row r="31" spans="1:18">
      <c r="A31" s="42" t="s">
        <v>702</v>
      </c>
      <c r="B31" s="108">
        <v>583.4</v>
      </c>
      <c r="C31" s="108">
        <v>590.9</v>
      </c>
      <c r="D31" s="108">
        <v>592.1</v>
      </c>
      <c r="E31" s="108">
        <v>583.4</v>
      </c>
      <c r="F31" s="108">
        <v>468.8</v>
      </c>
      <c r="G31" s="108">
        <f>'Change in reserves'!B50</f>
        <v>547.70000000000005</v>
      </c>
    </row>
    <row r="32" spans="1:18">
      <c r="A32" s="42" t="s">
        <v>304</v>
      </c>
      <c r="B32" s="108">
        <v>15.5</v>
      </c>
      <c r="C32" s="108">
        <v>11.9</v>
      </c>
      <c r="D32" s="108">
        <v>9.6999999999999993</v>
      </c>
      <c r="E32" s="108">
        <v>6.9</v>
      </c>
      <c r="F32" s="108">
        <v>38.549999999999997</v>
      </c>
      <c r="G32" s="108">
        <f>'Change in reserves'!C50</f>
        <v>32.299999999999997</v>
      </c>
    </row>
    <row r="33" spans="1:7" ht="13.8" thickBot="1">
      <c r="A33" s="42" t="s">
        <v>307</v>
      </c>
      <c r="B33" s="253">
        <v>17.600000000000001</v>
      </c>
      <c r="C33" s="138">
        <v>47</v>
      </c>
      <c r="D33" s="253">
        <v>19.899999999999999</v>
      </c>
      <c r="E33" s="253">
        <v>54.1</v>
      </c>
      <c r="F33" s="253">
        <v>57.5</v>
      </c>
      <c r="G33" s="253">
        <f>'Change in reserves'!D50</f>
        <v>83.2</v>
      </c>
    </row>
    <row r="34" spans="1:7">
      <c r="A34" s="254" t="s">
        <v>703</v>
      </c>
      <c r="B34" s="167">
        <f t="shared" ref="B34:G34" si="0">ROUND(B31*1.154,1)</f>
        <v>673.2</v>
      </c>
      <c r="C34" s="167">
        <f t="shared" si="0"/>
        <v>681.9</v>
      </c>
      <c r="D34" s="167">
        <f t="shared" si="0"/>
        <v>683.3</v>
      </c>
      <c r="E34" s="167">
        <f t="shared" si="0"/>
        <v>673.2</v>
      </c>
      <c r="F34" s="167">
        <f t="shared" si="0"/>
        <v>541</v>
      </c>
      <c r="G34" s="167">
        <f t="shared" si="0"/>
        <v>632</v>
      </c>
    </row>
    <row r="35" spans="1:7">
      <c r="A35" s="33" t="s">
        <v>305</v>
      </c>
      <c r="B35" s="116">
        <f t="shared" ref="B35:G36" si="1">ROUND(B32*1.43,1)</f>
        <v>22.2</v>
      </c>
      <c r="C35" s="116">
        <f t="shared" si="1"/>
        <v>17</v>
      </c>
      <c r="D35" s="116">
        <f t="shared" si="1"/>
        <v>13.9</v>
      </c>
      <c r="E35" s="116">
        <f t="shared" si="1"/>
        <v>9.9</v>
      </c>
      <c r="F35" s="116">
        <f t="shared" si="1"/>
        <v>55.1</v>
      </c>
      <c r="G35" s="116">
        <f t="shared" si="1"/>
        <v>46.2</v>
      </c>
    </row>
    <row r="36" spans="1:7">
      <c r="A36" s="33" t="s">
        <v>308</v>
      </c>
      <c r="B36" s="116">
        <f t="shared" si="1"/>
        <v>25.2</v>
      </c>
      <c r="C36" s="116">
        <f t="shared" si="1"/>
        <v>67.2</v>
      </c>
      <c r="D36" s="116">
        <f t="shared" si="1"/>
        <v>28.5</v>
      </c>
      <c r="E36" s="116">
        <f t="shared" si="1"/>
        <v>77.400000000000006</v>
      </c>
      <c r="F36" s="116">
        <f t="shared" si="1"/>
        <v>82.2</v>
      </c>
      <c r="G36" s="116">
        <f t="shared" si="1"/>
        <v>119</v>
      </c>
    </row>
    <row r="37" spans="1:7" ht="13.8" thickBot="1">
      <c r="A37" s="255" t="s">
        <v>704</v>
      </c>
      <c r="B37" s="165">
        <f>SUM(B34:B36)</f>
        <v>720.60000000000014</v>
      </c>
      <c r="C37" s="165">
        <f>SUM(C34:C36)</f>
        <v>766.1</v>
      </c>
      <c r="D37" s="165">
        <f>SUM(D34:D36)</f>
        <v>725.69999999999993</v>
      </c>
      <c r="E37" s="165">
        <f>SUM(E34:E36)</f>
        <v>760.5</v>
      </c>
      <c r="F37" s="165">
        <f>SUM(F34:F36)</f>
        <v>678.30000000000007</v>
      </c>
      <c r="G37" s="165">
        <f>'Change in reserves'!I50</f>
        <v>797.2</v>
      </c>
    </row>
    <row r="38" spans="1:7">
      <c r="A38" s="42" t="s">
        <v>706</v>
      </c>
      <c r="B38" s="167">
        <f>ROUND(B31*5.89,1)</f>
        <v>3436.2</v>
      </c>
      <c r="C38" s="167">
        <f>ROUND(C31*5.89,1)</f>
        <v>3480.4</v>
      </c>
      <c r="D38" s="167">
        <f>ROUND(D31*5.89,1)</f>
        <v>3487.5</v>
      </c>
      <c r="E38" s="167">
        <f>ROUND(E31*5.89,1)</f>
        <v>3436.2</v>
      </c>
      <c r="F38" s="167">
        <f>ROUND(F31*5.89,1)</f>
        <v>2761.2</v>
      </c>
      <c r="G38" s="167">
        <f>ROUNDDOWN(G31*5.89,1)</f>
        <v>3225.9</v>
      </c>
    </row>
    <row r="39" spans="1:7">
      <c r="A39" s="42" t="s">
        <v>306</v>
      </c>
      <c r="B39" s="116">
        <f t="shared" ref="B39:G39" si="2">ROUND(B32*8.18,1)</f>
        <v>126.8</v>
      </c>
      <c r="C39" s="116">
        <f t="shared" si="2"/>
        <v>97.3</v>
      </c>
      <c r="D39" s="116">
        <f t="shared" si="2"/>
        <v>79.3</v>
      </c>
      <c r="E39" s="116">
        <f t="shared" si="2"/>
        <v>56.4</v>
      </c>
      <c r="F39" s="116">
        <f t="shared" si="2"/>
        <v>315.3</v>
      </c>
      <c r="G39" s="116">
        <f t="shared" si="2"/>
        <v>264.2</v>
      </c>
    </row>
    <row r="40" spans="1:7">
      <c r="A40" s="42" t="s">
        <v>309</v>
      </c>
      <c r="B40" s="116">
        <f t="shared" ref="B40:G40" si="3">ROUND(B33*7.33,1)</f>
        <v>129</v>
      </c>
      <c r="C40" s="116">
        <f t="shared" si="3"/>
        <v>344.5</v>
      </c>
      <c r="D40" s="116">
        <f t="shared" si="3"/>
        <v>145.9</v>
      </c>
      <c r="E40" s="116">
        <f t="shared" si="3"/>
        <v>396.6</v>
      </c>
      <c r="F40" s="116">
        <f t="shared" si="3"/>
        <v>421.5</v>
      </c>
      <c r="G40" s="116">
        <f t="shared" si="3"/>
        <v>609.9</v>
      </c>
    </row>
    <row r="41" spans="1:7" ht="13.8" thickBot="1">
      <c r="A41" s="255" t="s">
        <v>704</v>
      </c>
      <c r="B41" s="165">
        <f>SUM(B38:B40)</f>
        <v>3692</v>
      </c>
      <c r="C41" s="165">
        <f>SUM(C38:C40)</f>
        <v>3922.2000000000003</v>
      </c>
      <c r="D41" s="165">
        <f>SUM(D38:D40)</f>
        <v>3712.7000000000003</v>
      </c>
      <c r="E41" s="165">
        <f>SUM(E38:E40)</f>
        <v>3889.2</v>
      </c>
      <c r="F41" s="165">
        <f>SUM(F38:F40)</f>
        <v>3498</v>
      </c>
      <c r="G41" s="165">
        <f>'Change in reserves'!N50</f>
        <v>4100</v>
      </c>
    </row>
    <row r="42" spans="1:7">
      <c r="A42" s="144" t="s">
        <v>707</v>
      </c>
      <c r="B42" s="108"/>
      <c r="C42" s="108"/>
      <c r="D42" s="108"/>
      <c r="E42" s="108"/>
      <c r="F42" s="108"/>
      <c r="G42" s="108"/>
    </row>
    <row r="43" spans="1:7">
      <c r="A43" s="42" t="s">
        <v>708</v>
      </c>
      <c r="B43" s="60">
        <v>1.04</v>
      </c>
      <c r="C43" s="60">
        <v>1.06</v>
      </c>
      <c r="D43" s="60">
        <v>1.08</v>
      </c>
      <c r="E43" s="60">
        <v>1.06</v>
      </c>
      <c r="F43" s="60">
        <v>1.01</v>
      </c>
      <c r="G43" s="60">
        <f>ROUND(G31/ABS('Change in reserves'!B59),2)</f>
        <v>1.08</v>
      </c>
    </row>
    <row r="44" spans="1:7">
      <c r="A44" s="42" t="s">
        <v>709</v>
      </c>
      <c r="B44" s="60">
        <v>1.82</v>
      </c>
      <c r="C44" s="60">
        <v>1.42</v>
      </c>
      <c r="D44" s="60">
        <v>1.18</v>
      </c>
      <c r="E44" s="60">
        <v>0.86</v>
      </c>
      <c r="F44" s="60">
        <v>5.28</v>
      </c>
      <c r="G44" s="60">
        <f>ROUND(G32/ABS('Change in reserves'!C59),2)</f>
        <v>3.99</v>
      </c>
    </row>
    <row r="45" spans="1:7">
      <c r="A45" s="42" t="s">
        <v>350</v>
      </c>
      <c r="B45" s="60">
        <v>0.51</v>
      </c>
      <c r="C45" s="60">
        <v>1.38</v>
      </c>
      <c r="D45" s="60">
        <v>0.59</v>
      </c>
      <c r="E45" s="60">
        <v>1.69</v>
      </c>
      <c r="F45" s="60">
        <v>1.83</v>
      </c>
      <c r="G45" s="60">
        <f>ROUND(G33/ABS('Change in reserves'!D59),2)</f>
        <v>2.6</v>
      </c>
    </row>
    <row r="46" spans="1:7" ht="13.8" thickBot="1">
      <c r="A46" s="234" t="s">
        <v>282</v>
      </c>
      <c r="B46" s="240">
        <v>1.02</v>
      </c>
      <c r="C46" s="240">
        <v>1.0900000000000001</v>
      </c>
      <c r="D46" s="240">
        <v>1.04</v>
      </c>
      <c r="E46" s="240">
        <v>1.1000000000000001</v>
      </c>
      <c r="F46" s="240">
        <v>1.1499999999999999</v>
      </c>
      <c r="G46" s="240">
        <f>ROUND(G37/ABS('Change in reserves'!I59),2)</f>
        <v>1.24</v>
      </c>
    </row>
    <row r="47" spans="1:7" ht="25.5" customHeight="1" thickTop="1">
      <c r="A47" s="256" t="s">
        <v>710</v>
      </c>
      <c r="B47" s="28"/>
      <c r="C47" s="28"/>
      <c r="D47" s="28"/>
      <c r="E47" s="28"/>
      <c r="F47" s="28"/>
      <c r="G47" s="28"/>
    </row>
    <row r="48" spans="1:7" ht="13.2" customHeight="1">
      <c r="A48" s="117"/>
      <c r="B48" s="531" t="s">
        <v>700</v>
      </c>
      <c r="C48" s="531"/>
      <c r="D48" s="531"/>
      <c r="E48" s="531"/>
      <c r="F48" s="531"/>
      <c r="G48" s="531"/>
    </row>
    <row r="49" spans="1:7" ht="51.6">
      <c r="A49" s="117"/>
      <c r="B49" s="29" t="s">
        <v>1089</v>
      </c>
      <c r="C49" s="29">
        <v>2006</v>
      </c>
      <c r="D49" s="29">
        <v>2007</v>
      </c>
      <c r="E49" s="29">
        <v>2008</v>
      </c>
      <c r="F49" s="29">
        <v>2009</v>
      </c>
      <c r="G49" s="29">
        <v>2010</v>
      </c>
    </row>
    <row r="50" spans="1:7">
      <c r="A50" s="52" t="s">
        <v>711</v>
      </c>
      <c r="B50" s="108"/>
      <c r="C50" s="108"/>
      <c r="D50" s="108"/>
      <c r="E50" s="108"/>
      <c r="F50" s="108"/>
      <c r="G50" s="108"/>
    </row>
    <row r="51" spans="1:7">
      <c r="A51" s="257" t="s">
        <v>712</v>
      </c>
      <c r="B51" s="108">
        <v>248</v>
      </c>
      <c r="C51" s="108">
        <v>156</v>
      </c>
      <c r="D51" s="108">
        <v>204</v>
      </c>
      <c r="E51" s="108">
        <v>143</v>
      </c>
      <c r="F51" s="108">
        <v>151</v>
      </c>
      <c r="G51" s="108">
        <v>118</v>
      </c>
    </row>
    <row r="52" spans="1:7">
      <c r="A52" s="257" t="s">
        <v>713</v>
      </c>
      <c r="B52" s="108">
        <v>15</v>
      </c>
      <c r="C52" s="108">
        <v>441</v>
      </c>
      <c r="D52" s="108">
        <v>546</v>
      </c>
      <c r="E52" s="108">
        <v>629</v>
      </c>
      <c r="F52" s="108">
        <v>702</v>
      </c>
      <c r="G52" s="108">
        <v>775</v>
      </c>
    </row>
    <row r="53" spans="1:7">
      <c r="A53" s="257" t="s">
        <v>714</v>
      </c>
      <c r="B53" s="108">
        <v>36</v>
      </c>
      <c r="C53" s="108">
        <v>41</v>
      </c>
      <c r="D53" s="108">
        <v>45</v>
      </c>
      <c r="E53" s="108">
        <v>8</v>
      </c>
      <c r="F53" s="108">
        <v>14</v>
      </c>
      <c r="G53" s="108">
        <v>16</v>
      </c>
    </row>
    <row r="54" spans="1:7" ht="13.8" thickBot="1">
      <c r="A54" s="258" t="s">
        <v>715</v>
      </c>
      <c r="B54" s="259">
        <v>299</v>
      </c>
      <c r="C54" s="259">
        <v>638</v>
      </c>
      <c r="D54" s="259">
        <v>795</v>
      </c>
      <c r="E54" s="259">
        <v>780</v>
      </c>
      <c r="F54" s="259">
        <v>867</v>
      </c>
      <c r="G54" s="259">
        <v>909</v>
      </c>
    </row>
    <row r="55" spans="1:7" ht="13.8" thickTop="1">
      <c r="A55" s="52" t="s">
        <v>716</v>
      </c>
      <c r="B55" s="108"/>
      <c r="C55" s="108"/>
      <c r="D55" s="108"/>
      <c r="E55" s="108"/>
      <c r="F55" s="108"/>
      <c r="G55" s="108"/>
    </row>
    <row r="56" spans="1:7">
      <c r="A56" s="257" t="s">
        <v>712</v>
      </c>
      <c r="B56" s="107">
        <v>327.39999999999998</v>
      </c>
      <c r="C56" s="107">
        <v>267.10000000000002</v>
      </c>
      <c r="D56" s="107">
        <v>314</v>
      </c>
      <c r="E56" s="107">
        <v>375.7</v>
      </c>
      <c r="F56" s="107">
        <v>358.2</v>
      </c>
      <c r="G56" s="107">
        <v>441.5</v>
      </c>
    </row>
    <row r="57" spans="1:7">
      <c r="A57" s="257" t="s">
        <v>713</v>
      </c>
      <c r="B57" s="107">
        <v>38.200000000000003</v>
      </c>
      <c r="C57" s="107">
        <v>1468.9</v>
      </c>
      <c r="D57" s="107">
        <v>1740.7</v>
      </c>
      <c r="E57" s="107">
        <v>2080.6</v>
      </c>
      <c r="F57" s="107">
        <v>2286.6999999999998</v>
      </c>
      <c r="G57" s="107">
        <v>2602.1999999999998</v>
      </c>
    </row>
    <row r="58" spans="1:7">
      <c r="A58" s="257" t="s">
        <v>714</v>
      </c>
      <c r="B58" s="107">
        <v>31.6</v>
      </c>
      <c r="C58" s="107">
        <v>30.1</v>
      </c>
      <c r="D58" s="107">
        <v>37.799999999999997</v>
      </c>
      <c r="E58" s="107">
        <v>17.600000000000001</v>
      </c>
      <c r="F58" s="107">
        <v>11.9</v>
      </c>
      <c r="G58" s="107">
        <v>20.3</v>
      </c>
    </row>
    <row r="59" spans="1:7" ht="13.8" thickBot="1">
      <c r="A59" s="258" t="s">
        <v>715</v>
      </c>
      <c r="B59" s="261">
        <v>397.2</v>
      </c>
      <c r="C59" s="261">
        <v>1766.1</v>
      </c>
      <c r="D59" s="261">
        <v>2092.5</v>
      </c>
      <c r="E59" s="261">
        <v>2473.9</v>
      </c>
      <c r="F59" s="261">
        <v>2656.8</v>
      </c>
      <c r="G59" s="261">
        <v>3064</v>
      </c>
    </row>
    <row r="60" spans="1:7" ht="13.8" thickTop="1">
      <c r="A60" s="97"/>
      <c r="B60" s="28"/>
      <c r="C60" s="28"/>
      <c r="D60" s="28"/>
      <c r="E60" s="28"/>
      <c r="F60" s="28"/>
      <c r="G60" s="28"/>
    </row>
    <row r="61" spans="1:7">
      <c r="A61" s="256" t="s">
        <v>717</v>
      </c>
      <c r="B61" s="28"/>
      <c r="C61" s="28"/>
      <c r="D61" s="28"/>
      <c r="E61" s="28"/>
      <c r="F61" s="28"/>
      <c r="G61" s="28"/>
    </row>
    <row r="62" spans="1:7" ht="13.2" customHeight="1">
      <c r="A62" s="262"/>
      <c r="B62" s="531" t="s">
        <v>700</v>
      </c>
      <c r="C62" s="531"/>
      <c r="D62" s="531"/>
      <c r="E62" s="531"/>
      <c r="F62" s="531"/>
      <c r="G62" s="531"/>
    </row>
    <row r="63" spans="1:7">
      <c r="A63" s="262"/>
      <c r="B63" s="29">
        <v>2005</v>
      </c>
      <c r="C63" s="29">
        <v>2006</v>
      </c>
      <c r="D63" s="29">
        <v>2007</v>
      </c>
      <c r="E63" s="29">
        <v>2008</v>
      </c>
      <c r="F63" s="29">
        <v>2009</v>
      </c>
      <c r="G63" s="29">
        <v>2010</v>
      </c>
    </row>
    <row r="64" spans="1:7">
      <c r="A64" s="123" t="s">
        <v>718</v>
      </c>
      <c r="B64" s="108">
        <v>114</v>
      </c>
      <c r="C64" s="108">
        <v>119</v>
      </c>
      <c r="D64" s="108">
        <v>122</v>
      </c>
      <c r="E64" s="108">
        <v>122</v>
      </c>
      <c r="F64" s="108">
        <v>121</v>
      </c>
      <c r="G64" s="108">
        <v>120</v>
      </c>
    </row>
    <row r="65" spans="1:8">
      <c r="A65" s="123" t="s">
        <v>719</v>
      </c>
      <c r="B65" s="263">
        <v>6941</v>
      </c>
      <c r="C65" s="263">
        <v>7010</v>
      </c>
      <c r="D65" s="263">
        <v>7154</v>
      </c>
      <c r="E65" s="263">
        <v>7214</v>
      </c>
      <c r="F65" s="263">
        <v>7310</v>
      </c>
      <c r="G65" s="263" t="s">
        <v>195</v>
      </c>
    </row>
    <row r="66" spans="1:8">
      <c r="A66" s="198" t="s">
        <v>720</v>
      </c>
      <c r="B66" s="263">
        <v>6401</v>
      </c>
      <c r="C66" s="263">
        <v>6513</v>
      </c>
      <c r="D66" s="263">
        <v>6640</v>
      </c>
      <c r="E66" s="263">
        <v>6723</v>
      </c>
      <c r="F66" s="263">
        <v>6775</v>
      </c>
      <c r="G66" s="263" t="s">
        <v>196</v>
      </c>
    </row>
    <row r="67" spans="1:8">
      <c r="A67" s="123" t="s">
        <v>721</v>
      </c>
      <c r="B67" s="263">
        <v>5018</v>
      </c>
      <c r="C67" s="263">
        <v>5486</v>
      </c>
      <c r="D67" s="263">
        <v>5881</v>
      </c>
      <c r="E67" s="263">
        <v>5932</v>
      </c>
      <c r="F67" s="263">
        <v>6158</v>
      </c>
      <c r="G67" s="263" t="s">
        <v>197</v>
      </c>
    </row>
    <row r="68" spans="1:8">
      <c r="A68" s="198" t="s">
        <v>720</v>
      </c>
      <c r="B68" s="263">
        <v>4372</v>
      </c>
      <c r="C68" s="263">
        <v>4948</v>
      </c>
      <c r="D68" s="263">
        <v>5342</v>
      </c>
      <c r="E68" s="263">
        <v>5444</v>
      </c>
      <c r="F68" s="263">
        <v>5663</v>
      </c>
      <c r="G68" s="263" t="s">
        <v>198</v>
      </c>
    </row>
    <row r="69" spans="1:8">
      <c r="A69" s="123" t="s">
        <v>722</v>
      </c>
      <c r="B69" s="108">
        <v>169</v>
      </c>
      <c r="C69" s="108">
        <v>170</v>
      </c>
      <c r="D69" s="108">
        <v>172</v>
      </c>
      <c r="E69" s="108">
        <v>173</v>
      </c>
      <c r="F69" s="108">
        <v>174</v>
      </c>
      <c r="G69" s="108">
        <v>176</v>
      </c>
    </row>
    <row r="70" spans="1:8">
      <c r="A70" s="123" t="s">
        <v>723</v>
      </c>
      <c r="B70" s="107">
        <v>939.6</v>
      </c>
      <c r="C70" s="107">
        <v>957.8</v>
      </c>
      <c r="D70" s="107">
        <v>976</v>
      </c>
      <c r="E70" s="107">
        <v>991</v>
      </c>
      <c r="F70" s="107">
        <v>994.5</v>
      </c>
      <c r="G70" s="107" t="s">
        <v>199</v>
      </c>
    </row>
    <row r="71" spans="1:8">
      <c r="A71" s="52" t="s">
        <v>724</v>
      </c>
      <c r="B71" s="108">
        <v>44</v>
      </c>
      <c r="C71" s="108">
        <v>44</v>
      </c>
      <c r="D71" s="108">
        <v>45</v>
      </c>
      <c r="E71" s="108">
        <v>45</v>
      </c>
      <c r="F71" s="108">
        <v>47</v>
      </c>
      <c r="G71" s="108">
        <v>48</v>
      </c>
    </row>
    <row r="72" spans="1:8" ht="13.8" thickBot="1">
      <c r="A72" s="237" t="s">
        <v>725</v>
      </c>
      <c r="B72" s="142">
        <v>4176.1000000000004</v>
      </c>
      <c r="C72" s="142">
        <v>4176.1000000000004</v>
      </c>
      <c r="D72" s="142">
        <v>4300.1000000000004</v>
      </c>
      <c r="E72" s="142">
        <v>4460.1000000000004</v>
      </c>
      <c r="F72" s="142">
        <v>4508.1000000000004</v>
      </c>
      <c r="G72" s="142" t="s">
        <v>200</v>
      </c>
    </row>
    <row r="73" spans="1:8" ht="13.8" thickTop="1">
      <c r="A73" s="49"/>
      <c r="B73" s="49"/>
      <c r="C73" s="49"/>
      <c r="D73" s="49"/>
      <c r="E73" s="49"/>
      <c r="F73" s="49"/>
      <c r="G73" s="49"/>
    </row>
    <row r="74" spans="1:8">
      <c r="A74" s="480" t="s">
        <v>213</v>
      </c>
      <c r="B74" s="18"/>
      <c r="C74" s="18"/>
      <c r="D74" s="18"/>
      <c r="E74" s="18"/>
      <c r="F74" s="18"/>
      <c r="G74" s="18"/>
      <c r="H74" s="18"/>
    </row>
  </sheetData>
  <sheetProtection password="CAF1" sheet="1" formatCells="0" formatColumns="0" formatRows="0" insertColumns="0" insertRows="0" insertHyperlinks="0" deleteColumns="0" deleteRows="0" sort="0" autoFilter="0" pivotTables="0"/>
  <mergeCells count="5">
    <mergeCell ref="A16:F16"/>
    <mergeCell ref="H3:N15"/>
    <mergeCell ref="B62:G62"/>
    <mergeCell ref="B17:G17"/>
    <mergeCell ref="B48:G48"/>
  </mergeCells>
  <phoneticPr fontId="7" type="noConversion"/>
  <hyperlinks>
    <hyperlink ref="A74"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26" max="6" man="1"/>
  </rowBreaks>
  <drawing r:id="rId2"/>
</worksheet>
</file>

<file path=xl/worksheets/sheet17.xml><?xml version="1.0" encoding="utf-8"?>
<worksheet xmlns="http://schemas.openxmlformats.org/spreadsheetml/2006/main" xmlns:r="http://schemas.openxmlformats.org/officeDocument/2006/relationships">
  <dimension ref="A1:R46"/>
  <sheetViews>
    <sheetView zoomScale="110" zoomScaleNormal="110" zoomScaleSheetLayoutView="100" zoomScalePageLayoutView="75" workbookViewId="0"/>
  </sheetViews>
  <sheetFormatPr defaultColWidth="0" defaultRowHeight="13.2" zeroHeight="1"/>
  <cols>
    <col min="1" max="1" width="18.6640625" style="17" customWidth="1"/>
    <col min="2" max="2" width="20" style="2" customWidth="1"/>
    <col min="3" max="3" width="6.6640625" style="2" customWidth="1"/>
    <col min="4" max="4" width="29" style="2" customWidth="1"/>
    <col min="5" max="5" width="23.88671875" style="2" customWidth="1"/>
    <col min="6" max="6" width="47" style="2" customWidth="1"/>
    <col min="7" max="16384" width="0" style="2" hidden="1"/>
  </cols>
  <sheetData>
    <row r="1" spans="1:6" ht="15.6">
      <c r="A1" s="48" t="s">
        <v>176</v>
      </c>
      <c r="B1" s="264"/>
      <c r="C1" s="264"/>
      <c r="D1" s="264"/>
      <c r="E1" s="264"/>
      <c r="F1" s="28"/>
    </row>
    <row r="2" spans="1:6" ht="33.75" customHeight="1">
      <c r="A2" s="29" t="s">
        <v>177</v>
      </c>
      <c r="B2" s="29" t="s">
        <v>178</v>
      </c>
      <c r="C2" s="29" t="s">
        <v>179</v>
      </c>
      <c r="D2" s="29" t="s">
        <v>180</v>
      </c>
      <c r="E2" s="29" t="s">
        <v>181</v>
      </c>
      <c r="F2" s="29" t="s">
        <v>182</v>
      </c>
    </row>
    <row r="3" spans="1:6" ht="20.399999999999999">
      <c r="A3" s="588" t="s">
        <v>183</v>
      </c>
      <c r="B3" s="583" t="s">
        <v>629</v>
      </c>
      <c r="C3" s="584">
        <v>2009</v>
      </c>
      <c r="D3" s="265" t="s">
        <v>1119</v>
      </c>
      <c r="E3" s="583" t="s">
        <v>4</v>
      </c>
      <c r="F3" s="188" t="s">
        <v>185</v>
      </c>
    </row>
    <row r="4" spans="1:6" ht="25.2" customHeight="1">
      <c r="A4" s="588"/>
      <c r="B4" s="583"/>
      <c r="C4" s="584"/>
      <c r="D4" s="265" t="s">
        <v>626</v>
      </c>
      <c r="E4" s="583"/>
      <c r="F4" s="49"/>
    </row>
    <row r="5" spans="1:6" ht="38.4" customHeight="1">
      <c r="A5" s="588"/>
      <c r="B5" s="583"/>
      <c r="C5" s="584"/>
      <c r="D5" s="265" t="s">
        <v>627</v>
      </c>
      <c r="E5" s="583"/>
      <c r="F5" s="49"/>
    </row>
    <row r="6" spans="1:6" ht="29.25" customHeight="1">
      <c r="A6" s="588"/>
      <c r="B6" s="583"/>
      <c r="C6" s="584"/>
      <c r="D6" s="484" t="s">
        <v>184</v>
      </c>
      <c r="E6" s="583"/>
      <c r="F6" s="49"/>
    </row>
    <row r="7" spans="1:6" ht="29.25" customHeight="1">
      <c r="A7" s="588"/>
      <c r="B7" s="583"/>
      <c r="C7" s="584"/>
      <c r="D7" s="485"/>
      <c r="E7" s="583"/>
      <c r="F7" s="49"/>
    </row>
    <row r="8" spans="1:6" s="515" customFormat="1" ht="89.25" customHeight="1" thickBot="1">
      <c r="A8" s="593"/>
      <c r="B8" s="597"/>
      <c r="C8" s="595"/>
      <c r="D8" s="516"/>
      <c r="E8" s="597"/>
      <c r="F8" s="517"/>
    </row>
    <row r="9" spans="1:6" ht="209.25" customHeight="1" thickBot="1">
      <c r="A9" s="518" t="s">
        <v>186</v>
      </c>
      <c r="B9" s="516" t="s">
        <v>630</v>
      </c>
      <c r="C9" s="519">
        <v>2010</v>
      </c>
      <c r="D9" s="516" t="s">
        <v>1120</v>
      </c>
      <c r="E9" s="516" t="s">
        <v>628</v>
      </c>
      <c r="F9" s="520" t="s">
        <v>187</v>
      </c>
    </row>
    <row r="10" spans="1:6" ht="60" customHeight="1">
      <c r="A10" s="260" t="s">
        <v>188</v>
      </c>
      <c r="B10" s="583" t="s">
        <v>631</v>
      </c>
      <c r="C10" s="584">
        <v>2005</v>
      </c>
      <c r="D10" s="583" t="s">
        <v>1121</v>
      </c>
      <c r="E10" s="265" t="s">
        <v>189</v>
      </c>
      <c r="F10" s="584" t="s">
        <v>953</v>
      </c>
    </row>
    <row r="11" spans="1:6" ht="117.75" customHeight="1">
      <c r="A11" s="175"/>
      <c r="B11" s="583"/>
      <c r="C11" s="584"/>
      <c r="D11" s="583"/>
      <c r="E11" s="265" t="s">
        <v>1173</v>
      </c>
      <c r="F11" s="584"/>
    </row>
    <row r="12" spans="1:6" ht="72.75" customHeight="1">
      <c r="A12" s="175"/>
      <c r="B12" s="265" t="s">
        <v>190</v>
      </c>
      <c r="C12" s="188">
        <v>2008</v>
      </c>
      <c r="D12" s="265" t="s">
        <v>1122</v>
      </c>
      <c r="E12" s="265" t="s">
        <v>950</v>
      </c>
      <c r="F12" s="28"/>
    </row>
    <row r="13" spans="1:6" ht="199.5" customHeight="1" thickBot="1">
      <c r="A13" s="518"/>
      <c r="B13" s="516" t="s">
        <v>951</v>
      </c>
      <c r="C13" s="519">
        <v>2009</v>
      </c>
      <c r="D13" s="516" t="s">
        <v>931</v>
      </c>
      <c r="E13" s="516" t="s">
        <v>952</v>
      </c>
      <c r="F13" s="517"/>
    </row>
    <row r="14" spans="1:6" ht="101.25" customHeight="1">
      <c r="A14" s="590" t="s">
        <v>954</v>
      </c>
      <c r="B14" s="585" t="s">
        <v>955</v>
      </c>
      <c r="C14" s="188" t="s">
        <v>956</v>
      </c>
      <c r="D14" s="508" t="s">
        <v>1123</v>
      </c>
      <c r="E14" s="265" t="s">
        <v>958</v>
      </c>
      <c r="F14" s="584" t="s">
        <v>959</v>
      </c>
    </row>
    <row r="15" spans="1:6" ht="69" customHeight="1">
      <c r="A15" s="590"/>
      <c r="B15" s="585"/>
      <c r="C15" s="188" t="s">
        <v>957</v>
      </c>
      <c r="D15" s="265"/>
      <c r="E15" s="521" t="s">
        <v>633</v>
      </c>
      <c r="F15" s="584"/>
    </row>
    <row r="16" spans="1:6" s="4" customFormat="1" ht="118.5" customHeight="1" thickBot="1">
      <c r="A16" s="590"/>
      <c r="B16" s="586"/>
      <c r="C16" s="522"/>
      <c r="D16" s="516"/>
      <c r="E16" s="523" t="s">
        <v>632</v>
      </c>
      <c r="F16" s="517"/>
    </row>
    <row r="17" spans="1:18" ht="225.75" customHeight="1">
      <c r="A17" s="587" t="s">
        <v>960</v>
      </c>
      <c r="B17" s="585" t="s">
        <v>961</v>
      </c>
      <c r="C17" s="589">
        <v>2000</v>
      </c>
      <c r="D17" s="265" t="s">
        <v>1124</v>
      </c>
      <c r="E17" s="265" t="s">
        <v>1125</v>
      </c>
      <c r="F17" s="188" t="s">
        <v>962</v>
      </c>
    </row>
    <row r="18" spans="1:18" ht="8.25" customHeight="1" thickBot="1">
      <c r="A18" s="588"/>
      <c r="B18" s="583"/>
      <c r="C18" s="584"/>
      <c r="D18" s="265"/>
      <c r="E18" s="265"/>
      <c r="F18" s="49"/>
    </row>
    <row r="19" spans="1:18" s="4" customFormat="1" ht="90" customHeight="1">
      <c r="A19" s="592" t="s">
        <v>963</v>
      </c>
      <c r="B19" s="599" t="s">
        <v>964</v>
      </c>
      <c r="C19" s="594">
        <v>2010</v>
      </c>
      <c r="D19" s="524" t="s">
        <v>1126</v>
      </c>
      <c r="E19" s="524" t="s">
        <v>966</v>
      </c>
      <c r="F19" s="525" t="s">
        <v>967</v>
      </c>
    </row>
    <row r="20" spans="1:18" s="4" customFormat="1" ht="116.25" customHeight="1" thickBot="1">
      <c r="A20" s="593"/>
      <c r="B20" s="597"/>
      <c r="C20" s="595"/>
      <c r="D20" s="516" t="s">
        <v>965</v>
      </c>
      <c r="E20" s="516"/>
      <c r="F20" s="519"/>
    </row>
    <row r="21" spans="1:18" ht="69.75" customHeight="1">
      <c r="A21" s="588" t="s">
        <v>968</v>
      </c>
      <c r="B21" s="583" t="s">
        <v>969</v>
      </c>
      <c r="C21" s="584">
        <v>2003</v>
      </c>
      <c r="D21" s="265" t="s">
        <v>932</v>
      </c>
      <c r="E21" s="265" t="s">
        <v>970</v>
      </c>
      <c r="F21" s="188" t="s">
        <v>971</v>
      </c>
    </row>
    <row r="22" spans="1:18" ht="67.5" customHeight="1">
      <c r="A22" s="588"/>
      <c r="B22" s="583"/>
      <c r="C22" s="584"/>
      <c r="D22" s="265" t="s">
        <v>1127</v>
      </c>
      <c r="E22" s="265"/>
      <c r="F22" s="49"/>
    </row>
    <row r="23" spans="1:18" ht="114" customHeight="1" thickBot="1">
      <c r="A23" s="588"/>
      <c r="B23" s="596"/>
      <c r="C23" s="591"/>
      <c r="D23" s="433"/>
      <c r="E23" s="487"/>
      <c r="F23" s="488"/>
      <c r="G23" s="376"/>
      <c r="H23" s="376"/>
      <c r="I23" s="376"/>
      <c r="J23" s="376"/>
      <c r="K23" s="376"/>
      <c r="L23" s="376"/>
      <c r="M23" s="376"/>
      <c r="N23" s="376"/>
      <c r="O23" s="376"/>
      <c r="P23" s="376"/>
      <c r="Q23" s="376"/>
      <c r="R23" s="376"/>
    </row>
    <row r="24" spans="1:18" ht="72.75" customHeight="1">
      <c r="A24" s="510" t="s">
        <v>972</v>
      </c>
      <c r="B24" s="511" t="s">
        <v>973</v>
      </c>
      <c r="C24" s="512">
        <v>2006</v>
      </c>
      <c r="D24" s="511" t="s">
        <v>974</v>
      </c>
      <c r="E24" s="511" t="s">
        <v>976</v>
      </c>
      <c r="F24" s="512" t="s">
        <v>977</v>
      </c>
    </row>
    <row r="25" spans="1:18" ht="135.75" customHeight="1" thickBot="1">
      <c r="A25" s="172"/>
      <c r="B25" s="266"/>
      <c r="C25" s="267"/>
      <c r="D25" s="266" t="s">
        <v>975</v>
      </c>
      <c r="E25" s="266"/>
      <c r="F25" s="526"/>
    </row>
    <row r="26" spans="1:18" ht="135.75" customHeight="1">
      <c r="A26" s="509" t="s">
        <v>978</v>
      </c>
      <c r="B26" s="265" t="s">
        <v>979</v>
      </c>
      <c r="C26" s="188">
        <v>2006</v>
      </c>
      <c r="D26" s="265" t="s">
        <v>980</v>
      </c>
      <c r="E26" s="265" t="s">
        <v>982</v>
      </c>
      <c r="F26" s="188" t="s">
        <v>984</v>
      </c>
    </row>
    <row r="27" spans="1:18" ht="302.25" customHeight="1" thickBot="1">
      <c r="A27" s="518"/>
      <c r="B27" s="516"/>
      <c r="C27" s="519"/>
      <c r="D27" s="516" t="s">
        <v>981</v>
      </c>
      <c r="E27" s="516" t="s">
        <v>983</v>
      </c>
      <c r="F27" s="517"/>
    </row>
    <row r="28" spans="1:18" ht="98.25" customHeight="1">
      <c r="A28" s="588" t="s">
        <v>985</v>
      </c>
      <c r="B28" s="583" t="s">
        <v>986</v>
      </c>
      <c r="C28" s="584">
        <v>2006</v>
      </c>
      <c r="D28" s="265" t="s">
        <v>987</v>
      </c>
      <c r="E28" s="265" t="s">
        <v>989</v>
      </c>
      <c r="F28" s="188" t="s">
        <v>994</v>
      </c>
    </row>
    <row r="29" spans="1:18" ht="161.25" customHeight="1">
      <c r="A29" s="588"/>
      <c r="B29" s="583"/>
      <c r="C29" s="584"/>
      <c r="D29" s="265" t="s">
        <v>988</v>
      </c>
      <c r="E29" s="265" t="s">
        <v>990</v>
      </c>
      <c r="F29" s="49"/>
    </row>
    <row r="30" spans="1:18" ht="128.25" customHeight="1">
      <c r="A30" s="588"/>
      <c r="B30" s="583" t="s">
        <v>991</v>
      </c>
      <c r="C30" s="584">
        <v>2004</v>
      </c>
      <c r="D30" s="265" t="s">
        <v>933</v>
      </c>
      <c r="E30" s="265" t="s">
        <v>993</v>
      </c>
      <c r="F30" s="49"/>
    </row>
    <row r="31" spans="1:18" ht="69" customHeight="1" thickBot="1">
      <c r="A31" s="588"/>
      <c r="B31" s="583"/>
      <c r="C31" s="584"/>
      <c r="D31" s="265" t="s">
        <v>992</v>
      </c>
      <c r="E31" s="486"/>
      <c r="F31" s="49"/>
    </row>
    <row r="32" spans="1:18" ht="148.5" customHeight="1">
      <c r="A32" s="592" t="s">
        <v>995</v>
      </c>
      <c r="B32" s="599" t="s">
        <v>996</v>
      </c>
      <c r="C32" s="594">
        <v>2007</v>
      </c>
      <c r="D32" s="524" t="s">
        <v>1128</v>
      </c>
      <c r="E32" s="524" t="s">
        <v>1171</v>
      </c>
      <c r="F32" s="525" t="s">
        <v>998</v>
      </c>
    </row>
    <row r="33" spans="1:7" ht="13.95" customHeight="1">
      <c r="A33" s="588"/>
      <c r="B33" s="583"/>
      <c r="C33" s="584"/>
      <c r="D33" s="583" t="s">
        <v>1129</v>
      </c>
      <c r="E33" s="598" t="s">
        <v>625</v>
      </c>
      <c r="F33" s="49"/>
    </row>
    <row r="34" spans="1:7" ht="20.25" customHeight="1">
      <c r="A34" s="588"/>
      <c r="B34" s="583"/>
      <c r="C34" s="584"/>
      <c r="D34" s="583"/>
      <c r="E34" s="598"/>
      <c r="F34" s="49"/>
    </row>
    <row r="35" spans="1:7">
      <c r="A35" s="588"/>
      <c r="B35" s="583"/>
      <c r="C35" s="584"/>
      <c r="D35" s="583"/>
      <c r="E35" s="598"/>
      <c r="F35" s="49"/>
    </row>
    <row r="36" spans="1:7" ht="10.5" customHeight="1">
      <c r="A36" s="588"/>
      <c r="B36" s="583"/>
      <c r="C36" s="584"/>
      <c r="D36" s="583"/>
      <c r="E36" s="598"/>
      <c r="F36" s="49"/>
    </row>
    <row r="37" spans="1:7">
      <c r="A37" s="588"/>
      <c r="B37" s="583"/>
      <c r="C37" s="584"/>
      <c r="D37" s="583"/>
      <c r="E37" s="598"/>
      <c r="F37" s="49"/>
    </row>
    <row r="38" spans="1:7" ht="46.5" customHeight="1">
      <c r="A38" s="588"/>
      <c r="B38" s="583"/>
      <c r="C38" s="584"/>
      <c r="D38" s="583"/>
      <c r="E38" s="598"/>
      <c r="F38" s="49"/>
    </row>
    <row r="39" spans="1:7" ht="12.75" customHeight="1">
      <c r="A39" s="588"/>
      <c r="B39" s="583"/>
      <c r="C39" s="584"/>
      <c r="D39" s="583"/>
      <c r="E39" s="265"/>
      <c r="F39" s="49"/>
    </row>
    <row r="40" spans="1:7" ht="108.75" customHeight="1">
      <c r="A40" s="588"/>
      <c r="B40" s="583" t="s">
        <v>997</v>
      </c>
      <c r="C40" s="584">
        <v>2007</v>
      </c>
      <c r="D40" s="265" t="s">
        <v>2</v>
      </c>
      <c r="E40" s="265" t="s">
        <v>3</v>
      </c>
      <c r="F40" s="49"/>
    </row>
    <row r="41" spans="1:7" ht="53.25" customHeight="1" thickBot="1">
      <c r="A41" s="593"/>
      <c r="B41" s="597"/>
      <c r="C41" s="595"/>
      <c r="D41" s="516" t="s">
        <v>1130</v>
      </c>
      <c r="E41" s="516"/>
      <c r="F41" s="517"/>
    </row>
    <row r="42" spans="1:7" ht="134.25" customHeight="1">
      <c r="A42" s="260" t="s">
        <v>999</v>
      </c>
      <c r="B42" s="265" t="s">
        <v>1000</v>
      </c>
      <c r="C42" s="188">
        <v>2010</v>
      </c>
      <c r="D42" s="265" t="s">
        <v>1131</v>
      </c>
      <c r="E42" s="265" t="s">
        <v>1</v>
      </c>
      <c r="F42" s="188" t="s">
        <v>1001</v>
      </c>
    </row>
    <row r="43" spans="1:7" ht="146.25" customHeight="1" thickBot="1">
      <c r="A43" s="273"/>
      <c r="B43" s="269"/>
      <c r="C43" s="269"/>
      <c r="D43" s="269"/>
      <c r="E43" s="269"/>
      <c r="F43" s="269"/>
    </row>
    <row r="44" spans="1:7" ht="21.45" customHeight="1" thickTop="1">
      <c r="A44" s="530" t="s">
        <v>213</v>
      </c>
      <c r="B44" s="530"/>
      <c r="C44" s="530"/>
      <c r="D44" s="530"/>
      <c r="E44" s="530"/>
      <c r="F44" s="530"/>
      <c r="G44" s="18"/>
    </row>
    <row r="45" spans="1:7" hidden="1"/>
    <row r="46" spans="1:7" hidden="1"/>
  </sheetData>
  <sheetProtection password="CAF1" sheet="1" objects="1" scenarios="1" formatCells="0" formatColumns="0" formatRows="0" insertColumns="0" insertRows="0" insertHyperlinks="0" deleteColumns="0" deleteRows="0" sort="0" autoFilter="0" pivotTables="0"/>
  <mergeCells count="33">
    <mergeCell ref="E3:E8"/>
    <mergeCell ref="A3:A8"/>
    <mergeCell ref="B3:B8"/>
    <mergeCell ref="C3:C8"/>
    <mergeCell ref="A44:F44"/>
    <mergeCell ref="A28:A31"/>
    <mergeCell ref="B28:B29"/>
    <mergeCell ref="C28:C29"/>
    <mergeCell ref="B30:B31"/>
    <mergeCell ref="E33:E38"/>
    <mergeCell ref="B40:B41"/>
    <mergeCell ref="C40:C41"/>
    <mergeCell ref="A32:A41"/>
    <mergeCell ref="B32:B39"/>
    <mergeCell ref="C32:C39"/>
    <mergeCell ref="B19:B20"/>
    <mergeCell ref="A17:A18"/>
    <mergeCell ref="B17:B18"/>
    <mergeCell ref="C17:C18"/>
    <mergeCell ref="A14:A16"/>
    <mergeCell ref="C21:C23"/>
    <mergeCell ref="A19:A20"/>
    <mergeCell ref="A21:A23"/>
    <mergeCell ref="C19:C20"/>
    <mergeCell ref="B21:B23"/>
    <mergeCell ref="D33:D39"/>
    <mergeCell ref="F14:F15"/>
    <mergeCell ref="F10:F11"/>
    <mergeCell ref="D10:D11"/>
    <mergeCell ref="B10:B11"/>
    <mergeCell ref="C10:C11"/>
    <mergeCell ref="B14:B16"/>
    <mergeCell ref="C30:C31"/>
  </mergeCells>
  <phoneticPr fontId="24" type="noConversion"/>
  <hyperlinks>
    <hyperlink ref="A44:G44" location="Титул!A1" display="Вернуться к Содержанию"/>
    <hyperlink ref="A44:F44"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rowBreaks count="5" manualBreakCount="5">
    <brk id="9" max="5" man="1"/>
    <brk id="16" max="5" man="1"/>
    <brk id="20" max="5" man="1"/>
    <brk id="25" max="16383" man="1"/>
    <brk id="31" max="5" man="1"/>
  </rowBreaks>
  <drawing r:id="rId2"/>
</worksheet>
</file>

<file path=xl/worksheets/sheet18.xml><?xml version="1.0" encoding="utf-8"?>
<worksheet xmlns="http://schemas.openxmlformats.org/spreadsheetml/2006/main" xmlns:r="http://schemas.openxmlformats.org/officeDocument/2006/relationships">
  <dimension ref="A1:R44"/>
  <sheetViews>
    <sheetView zoomScaleNormal="100" zoomScaleSheetLayoutView="100" workbookViewId="0"/>
  </sheetViews>
  <sheetFormatPr defaultColWidth="0" defaultRowHeight="13.2" zeroHeight="1"/>
  <cols>
    <col min="1" max="1" width="27.44140625" style="28" customWidth="1"/>
    <col min="2" max="2" width="36.5546875" style="28" customWidth="1"/>
    <col min="3" max="3" width="11.6640625" style="28" customWidth="1"/>
    <col min="4" max="4" width="13.6640625" style="28" customWidth="1"/>
    <col min="5" max="5" width="11.44140625" style="28" customWidth="1"/>
    <col min="6" max="16384" width="0" style="28" hidden="1"/>
  </cols>
  <sheetData>
    <row r="1" spans="1:5" s="407" customFormat="1" ht="17.399999999999999">
      <c r="A1" s="406" t="s">
        <v>1002</v>
      </c>
    </row>
    <row r="2" spans="1:5">
      <c r="A2" s="251" t="s">
        <v>1132</v>
      </c>
    </row>
    <row r="3" spans="1:5" ht="39.9" customHeight="1">
      <c r="A3" s="256"/>
    </row>
    <row r="4" spans="1:5" ht="39.9" customHeight="1">
      <c r="A4" s="256"/>
    </row>
    <row r="5" spans="1:5" ht="39.9" customHeight="1">
      <c r="A5" s="256"/>
    </row>
    <row r="6" spans="1:5" ht="39.9" customHeight="1">
      <c r="A6" s="256"/>
    </row>
    <row r="7" spans="1:5" ht="39.9" customHeight="1">
      <c r="A7" s="256"/>
    </row>
    <row r="8" spans="1:5" ht="39.9" customHeight="1">
      <c r="A8" s="256"/>
    </row>
    <row r="9" spans="1:5" ht="39.9" customHeight="1">
      <c r="A9" s="256"/>
    </row>
    <row r="10" spans="1:5" ht="39.9" customHeight="1">
      <c r="A10" s="256"/>
    </row>
    <row r="11" spans="1:5" ht="27.75" customHeight="1">
      <c r="A11" s="256"/>
    </row>
    <row r="12" spans="1:5">
      <c r="A12" s="256" t="s">
        <v>1133</v>
      </c>
    </row>
    <row r="13" spans="1:5" ht="22.2" customHeight="1">
      <c r="A13" s="408" t="s">
        <v>1003</v>
      </c>
      <c r="B13" s="153" t="s">
        <v>174</v>
      </c>
      <c r="C13" s="153" t="s">
        <v>1006</v>
      </c>
      <c r="D13" s="153" t="s">
        <v>1004</v>
      </c>
      <c r="E13" s="153" t="s">
        <v>1005</v>
      </c>
    </row>
    <row r="14" spans="1:5" ht="15" customHeight="1">
      <c r="A14" s="409" t="s">
        <v>1007</v>
      </c>
      <c r="B14" s="410"/>
      <c r="C14" s="410" t="s">
        <v>1103</v>
      </c>
      <c r="D14" s="410"/>
      <c r="E14" s="410"/>
    </row>
    <row r="15" spans="1:5" ht="45.75" customHeight="1">
      <c r="A15" s="372" t="s">
        <v>1008</v>
      </c>
      <c r="B15" s="395" t="s">
        <v>1010</v>
      </c>
      <c r="C15" s="186" t="s">
        <v>1011</v>
      </c>
      <c r="D15" s="186">
        <v>2001</v>
      </c>
      <c r="E15" s="186" t="s">
        <v>635</v>
      </c>
    </row>
    <row r="16" spans="1:5" ht="72" customHeight="1">
      <c r="A16" s="411" t="s">
        <v>1009</v>
      </c>
      <c r="B16" s="412" t="s">
        <v>634</v>
      </c>
      <c r="C16" s="413" t="s">
        <v>1012</v>
      </c>
      <c r="D16" s="413">
        <v>2010</v>
      </c>
      <c r="E16" s="413" t="s">
        <v>635</v>
      </c>
    </row>
    <row r="17" spans="1:18" ht="49.2" customHeight="1">
      <c r="A17" s="149" t="s">
        <v>1013</v>
      </c>
      <c r="B17" s="396" t="s">
        <v>1014</v>
      </c>
      <c r="C17" s="150" t="s">
        <v>1015</v>
      </c>
      <c r="D17" s="150">
        <v>1996</v>
      </c>
      <c r="E17" s="150">
        <v>2012</v>
      </c>
    </row>
    <row r="18" spans="1:18" ht="37.5" customHeight="1">
      <c r="A18" s="414" t="s">
        <v>1016</v>
      </c>
      <c r="B18" s="397" t="s">
        <v>1017</v>
      </c>
      <c r="C18" s="203" t="s">
        <v>1018</v>
      </c>
      <c r="D18" s="203">
        <v>2010</v>
      </c>
      <c r="E18" s="203">
        <v>2011</v>
      </c>
    </row>
    <row r="19" spans="1:18" ht="40.950000000000003" customHeight="1">
      <c r="A19" s="414" t="s">
        <v>1019</v>
      </c>
      <c r="B19" s="397" t="s">
        <v>1020</v>
      </c>
      <c r="C19" s="203" t="s">
        <v>1021</v>
      </c>
      <c r="D19" s="203">
        <v>2011</v>
      </c>
      <c r="E19" s="203" t="s">
        <v>635</v>
      </c>
    </row>
    <row r="20" spans="1:18" ht="23.4" customHeight="1">
      <c r="A20" s="601" t="s">
        <v>636</v>
      </c>
      <c r="B20" s="395" t="s">
        <v>1022</v>
      </c>
      <c r="C20" s="186"/>
      <c r="D20" s="186"/>
    </row>
    <row r="21" spans="1:18" ht="55.95" customHeight="1">
      <c r="A21" s="601"/>
      <c r="B21" s="397" t="s">
        <v>637</v>
      </c>
      <c r="C21" s="203" t="s">
        <v>1024</v>
      </c>
      <c r="D21" s="203">
        <v>2008</v>
      </c>
      <c r="E21" s="415" t="s">
        <v>638</v>
      </c>
    </row>
    <row r="22" spans="1:18" ht="59.4" customHeight="1">
      <c r="A22" s="601"/>
      <c r="B22" s="416" t="s">
        <v>1023</v>
      </c>
      <c r="C22" s="417" t="s">
        <v>1025</v>
      </c>
      <c r="D22" s="186">
        <v>2009</v>
      </c>
      <c r="E22" s="418"/>
    </row>
    <row r="23" spans="1:18" ht="53.25" customHeight="1">
      <c r="A23" s="601"/>
      <c r="B23" s="397" t="s">
        <v>639</v>
      </c>
      <c r="C23" s="419" t="s">
        <v>935</v>
      </c>
      <c r="D23" s="203" t="s">
        <v>640</v>
      </c>
      <c r="E23" s="420">
        <v>2020</v>
      </c>
    </row>
    <row r="24" spans="1:18" ht="47.4" customHeight="1">
      <c r="A24" s="421" t="s">
        <v>1026</v>
      </c>
      <c r="B24" s="411" t="s">
        <v>1027</v>
      </c>
      <c r="C24" s="419" t="s">
        <v>1028</v>
      </c>
      <c r="D24" s="420">
        <v>2003</v>
      </c>
      <c r="E24" s="422">
        <v>2007</v>
      </c>
    </row>
    <row r="25" spans="1:18" ht="123" customHeight="1" thickBot="1">
      <c r="A25" s="268" t="s">
        <v>1029</v>
      </c>
      <c r="B25" s="207" t="s">
        <v>934</v>
      </c>
      <c r="C25" s="423" t="s">
        <v>1030</v>
      </c>
      <c r="D25" s="206">
        <v>2007</v>
      </c>
      <c r="E25" s="200">
        <v>2010</v>
      </c>
      <c r="F25" s="424"/>
      <c r="G25" s="424"/>
      <c r="H25" s="424"/>
      <c r="I25" s="424"/>
      <c r="J25" s="424"/>
      <c r="K25" s="424"/>
      <c r="L25" s="424"/>
      <c r="M25" s="424"/>
      <c r="N25" s="424"/>
      <c r="O25" s="424"/>
      <c r="P25" s="424"/>
      <c r="Q25" s="424"/>
      <c r="R25" s="424"/>
    </row>
    <row r="26" spans="1:18" ht="13.5" customHeight="1" thickTop="1">
      <c r="A26" s="600" t="s">
        <v>1031</v>
      </c>
      <c r="B26" s="600"/>
      <c r="C26" s="600"/>
      <c r="D26" s="600"/>
      <c r="E26" s="600"/>
    </row>
    <row r="27" spans="1:18" ht="91.8">
      <c r="A27" s="236" t="s">
        <v>1032</v>
      </c>
      <c r="B27" s="236" t="s">
        <v>1033</v>
      </c>
      <c r="C27" s="186" t="s">
        <v>1034</v>
      </c>
      <c r="D27" s="186">
        <v>2012</v>
      </c>
      <c r="E27" s="186" t="s">
        <v>641</v>
      </c>
    </row>
    <row r="28" spans="1:18" ht="38.4" customHeight="1" thickBot="1">
      <c r="A28" s="268" t="s">
        <v>1035</v>
      </c>
      <c r="B28" s="425" t="s">
        <v>1036</v>
      </c>
      <c r="C28" s="426" t="s">
        <v>1037</v>
      </c>
      <c r="D28" s="427">
        <v>2016</v>
      </c>
      <c r="E28" s="427" t="s">
        <v>642</v>
      </c>
    </row>
    <row r="29" spans="1:18" ht="12.75" customHeight="1" thickTop="1">
      <c r="A29" s="600" t="s">
        <v>1038</v>
      </c>
      <c r="B29" s="600"/>
      <c r="C29" s="600"/>
      <c r="D29" s="600"/>
      <c r="E29" s="600"/>
    </row>
    <row r="30" spans="1:18" ht="129.75" customHeight="1" thickBot="1">
      <c r="A30" s="425" t="s">
        <v>1039</v>
      </c>
      <c r="B30" s="425" t="s">
        <v>1040</v>
      </c>
      <c r="C30" s="426" t="s">
        <v>1041</v>
      </c>
      <c r="D30" s="427">
        <v>2015</v>
      </c>
      <c r="E30" s="427">
        <v>2024</v>
      </c>
    </row>
    <row r="31" spans="1:18" ht="12.75" customHeight="1" thickTop="1">
      <c r="A31" s="428" t="s">
        <v>1042</v>
      </c>
      <c r="B31" s="148"/>
      <c r="C31" s="148"/>
      <c r="D31" s="148"/>
      <c r="E31" s="148"/>
    </row>
    <row r="32" spans="1:18" ht="111.6" customHeight="1">
      <c r="A32" s="236" t="s">
        <v>1043</v>
      </c>
      <c r="B32" s="395" t="s">
        <v>1044</v>
      </c>
      <c r="C32" s="186" t="s">
        <v>1046</v>
      </c>
      <c r="D32" s="186">
        <v>2016</v>
      </c>
      <c r="E32" s="186" t="s">
        <v>1047</v>
      </c>
    </row>
    <row r="33" spans="1:6" ht="39.75" customHeight="1">
      <c r="A33" s="149"/>
      <c r="B33" s="396" t="s">
        <v>1045</v>
      </c>
      <c r="C33" s="150"/>
      <c r="D33" s="150"/>
      <c r="E33" s="150"/>
    </row>
    <row r="34" spans="1:6" ht="25.95" customHeight="1" thickBot="1">
      <c r="A34" s="268" t="s">
        <v>1048</v>
      </c>
      <c r="B34" s="394" t="s">
        <v>1049</v>
      </c>
      <c r="C34" s="200" t="s">
        <v>1050</v>
      </c>
      <c r="D34" s="200">
        <v>2011</v>
      </c>
      <c r="E34" s="200">
        <v>2018</v>
      </c>
    </row>
    <row r="35" spans="1:6" ht="13.8" thickTop="1">
      <c r="A35" s="600" t="s">
        <v>1051</v>
      </c>
      <c r="B35" s="600"/>
      <c r="C35" s="600"/>
      <c r="D35" s="600"/>
      <c r="E35" s="600"/>
    </row>
    <row r="36" spans="1:6" ht="57" customHeight="1" thickBot="1">
      <c r="A36" s="268" t="s">
        <v>1052</v>
      </c>
      <c r="B36" s="394" t="s">
        <v>1053</v>
      </c>
      <c r="C36" s="200" t="s">
        <v>1054</v>
      </c>
      <c r="D36" s="200">
        <v>2018</v>
      </c>
      <c r="E36" s="200">
        <v>2020</v>
      </c>
    </row>
    <row r="37" spans="1:6" ht="13.8" thickTop="1">
      <c r="A37" s="602" t="s">
        <v>1055</v>
      </c>
      <c r="B37" s="602"/>
      <c r="C37" s="602"/>
      <c r="D37" s="602"/>
      <c r="E37" s="602"/>
    </row>
    <row r="38" spans="1:6" ht="124.5" customHeight="1" thickBot="1">
      <c r="A38" s="268" t="s">
        <v>1056</v>
      </c>
      <c r="B38" s="394" t="s">
        <v>1058</v>
      </c>
      <c r="C38" s="429" t="s">
        <v>1057</v>
      </c>
      <c r="D38" s="429">
        <v>1986</v>
      </c>
      <c r="E38" s="429" t="s">
        <v>1057</v>
      </c>
    </row>
    <row r="39" spans="1:6" ht="13.8" thickTop="1">
      <c r="A39" s="600" t="s">
        <v>1059</v>
      </c>
      <c r="B39" s="600"/>
      <c r="C39" s="600"/>
      <c r="D39" s="600"/>
      <c r="E39" s="600"/>
    </row>
    <row r="40" spans="1:6" ht="96" customHeight="1" thickBot="1">
      <c r="A40" s="430" t="s">
        <v>644</v>
      </c>
      <c r="B40" s="431" t="s">
        <v>1060</v>
      </c>
      <c r="C40" s="426" t="s">
        <v>1061</v>
      </c>
      <c r="D40" s="426" t="s">
        <v>643</v>
      </c>
      <c r="E40" s="427">
        <v>2016</v>
      </c>
    </row>
    <row r="41" spans="1:6" ht="17.399999999999999" customHeight="1" thickTop="1">
      <c r="A41" s="600" t="s">
        <v>1062</v>
      </c>
      <c r="B41" s="600"/>
      <c r="C41" s="600"/>
      <c r="D41" s="600"/>
      <c r="E41" s="600"/>
    </row>
    <row r="42" spans="1:6" ht="113.25" customHeight="1" thickBot="1">
      <c r="A42" s="268" t="s">
        <v>1063</v>
      </c>
      <c r="B42" s="394" t="s">
        <v>1064</v>
      </c>
      <c r="C42" s="200" t="s">
        <v>1065</v>
      </c>
      <c r="D42" s="268" t="s">
        <v>1066</v>
      </c>
      <c r="E42" s="268" t="s">
        <v>1065</v>
      </c>
    </row>
    <row r="43" spans="1:6" ht="13.8" thickTop="1"/>
    <row r="44" spans="1:6">
      <c r="A44" s="483" t="s">
        <v>213</v>
      </c>
      <c r="B44" s="482"/>
      <c r="C44" s="482"/>
      <c r="D44" s="482"/>
      <c r="E44" s="482"/>
      <c r="F44" s="482"/>
    </row>
  </sheetData>
  <sheetProtection password="CAF1" sheet="1" formatCells="0" formatColumns="0" formatRows="0" insertColumns="0" insertRows="0" insertHyperlinks="0" deleteColumns="0" deleteRows="0" sort="0" autoFilter="0" pivotTables="0"/>
  <mergeCells count="7">
    <mergeCell ref="A39:E39"/>
    <mergeCell ref="A20:A23"/>
    <mergeCell ref="A41:E41"/>
    <mergeCell ref="A29:E29"/>
    <mergeCell ref="A26:E26"/>
    <mergeCell ref="A35:E35"/>
    <mergeCell ref="A37:E37"/>
  </mergeCells>
  <phoneticPr fontId="24" type="noConversion"/>
  <hyperlinks>
    <hyperlink ref="A44"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2" manualBreakCount="2">
    <brk id="19" max="4" man="1"/>
    <brk id="30" max="4" man="1"/>
  </rowBreaks>
  <drawing r:id="rId2"/>
</worksheet>
</file>

<file path=xl/worksheets/sheet19.xml><?xml version="1.0" encoding="utf-8"?>
<worksheet xmlns="http://schemas.openxmlformats.org/spreadsheetml/2006/main" xmlns:r="http://schemas.openxmlformats.org/officeDocument/2006/relationships">
  <dimension ref="A1:R45"/>
  <sheetViews>
    <sheetView zoomScaleNormal="100" zoomScaleSheetLayoutView="100" workbookViewId="0"/>
  </sheetViews>
  <sheetFormatPr defaultColWidth="0" defaultRowHeight="13.2" zeroHeight="1" outlineLevelCol="1"/>
  <cols>
    <col min="1" max="1" width="50.6640625" style="49" customWidth="1"/>
    <col min="2" max="2" width="10" style="49" hidden="1" customWidth="1" outlineLevel="1"/>
    <col min="3" max="3" width="11.33203125" style="49" customWidth="1" collapsed="1"/>
    <col min="4" max="4" width="9.33203125" style="49" customWidth="1"/>
    <col min="5" max="5" width="11.33203125" style="49" customWidth="1"/>
    <col min="6" max="7" width="9.33203125" style="49" customWidth="1"/>
    <col min="8" max="16384" width="0" style="49" hidden="1"/>
  </cols>
  <sheetData>
    <row r="1" spans="1:7" ht="15.6">
      <c r="A1" s="48" t="s">
        <v>726</v>
      </c>
      <c r="B1" s="28"/>
      <c r="C1" s="28"/>
      <c r="D1" s="28"/>
      <c r="E1" s="28"/>
      <c r="F1" s="28"/>
      <c r="G1" s="28"/>
    </row>
    <row r="2" spans="1:7" ht="18" customHeight="1">
      <c r="A2" s="607" t="s">
        <v>727</v>
      </c>
      <c r="B2" s="607"/>
      <c r="C2" s="607"/>
      <c r="D2" s="607"/>
      <c r="E2" s="607"/>
      <c r="F2" s="607"/>
      <c r="G2" s="607"/>
    </row>
    <row r="3" spans="1:7" ht="13.2" customHeight="1">
      <c r="A3" s="117"/>
      <c r="B3" s="531" t="s">
        <v>671</v>
      </c>
      <c r="C3" s="531"/>
      <c r="D3" s="531"/>
      <c r="E3" s="531"/>
      <c r="F3" s="531"/>
      <c r="G3" s="531"/>
    </row>
    <row r="4" spans="1:7">
      <c r="A4" s="117"/>
      <c r="B4" s="29">
        <v>2005</v>
      </c>
      <c r="C4" s="489">
        <v>2006</v>
      </c>
      <c r="D4" s="489">
        <v>2007</v>
      </c>
      <c r="E4" s="489">
        <v>2008</v>
      </c>
      <c r="F4" s="489">
        <v>2009</v>
      </c>
      <c r="G4" s="489">
        <v>2010</v>
      </c>
    </row>
    <row r="5" spans="1:7">
      <c r="A5" s="52" t="s">
        <v>728</v>
      </c>
      <c r="B5" s="432">
        <v>1402</v>
      </c>
      <c r="C5" s="432">
        <v>1526</v>
      </c>
      <c r="D5" s="432">
        <v>1157</v>
      </c>
      <c r="E5" s="432">
        <v>1381</v>
      </c>
      <c r="F5" s="52">
        <v>865</v>
      </c>
      <c r="G5" s="432">
        <f>ROUND(1338.6,0)</f>
        <v>1339</v>
      </c>
    </row>
    <row r="6" spans="1:7">
      <c r="A6" s="52" t="s">
        <v>729</v>
      </c>
      <c r="B6" s="361">
        <v>2166.8000000000002</v>
      </c>
      <c r="C6" s="361">
        <v>2809</v>
      </c>
      <c r="D6" s="361">
        <v>2697</v>
      </c>
      <c r="E6" s="361">
        <v>2756.3</v>
      </c>
      <c r="F6" s="361">
        <v>2383.6999999999998</v>
      </c>
      <c r="G6" s="361">
        <v>2427.4</v>
      </c>
    </row>
    <row r="7" spans="1:7" ht="13.8" thickBot="1">
      <c r="A7" s="69" t="s">
        <v>1134</v>
      </c>
      <c r="B7" s="69">
        <v>0.14000000000000001</v>
      </c>
      <c r="C7" s="69">
        <v>0.12</v>
      </c>
      <c r="D7" s="69">
        <v>0.11</v>
      </c>
      <c r="E7" s="69">
        <v>0.13</v>
      </c>
      <c r="F7" s="69">
        <v>0.09</v>
      </c>
      <c r="G7" s="69">
        <v>0.04</v>
      </c>
    </row>
    <row r="8" spans="1:7" ht="27" customHeight="1" thickTop="1">
      <c r="A8" s="608" t="s">
        <v>730</v>
      </c>
      <c r="B8" s="608"/>
      <c r="C8" s="608"/>
      <c r="D8" s="608"/>
      <c r="E8" s="608"/>
      <c r="F8" s="608"/>
      <c r="G8" s="608"/>
    </row>
    <row r="9" spans="1:7" ht="13.2" customHeight="1">
      <c r="A9" s="117"/>
      <c r="B9" s="531" t="s">
        <v>300</v>
      </c>
      <c r="C9" s="531"/>
      <c r="D9" s="531"/>
      <c r="E9" s="531"/>
      <c r="F9" s="531"/>
      <c r="G9" s="531"/>
    </row>
    <row r="10" spans="1:7" ht="12.75" customHeight="1">
      <c r="A10" s="117"/>
      <c r="B10" s="29">
        <v>2005</v>
      </c>
      <c r="C10" s="489">
        <v>2006</v>
      </c>
      <c r="D10" s="489">
        <v>2007</v>
      </c>
      <c r="E10" s="489">
        <v>2008</v>
      </c>
      <c r="F10" s="489">
        <v>2009</v>
      </c>
      <c r="G10" s="489">
        <v>2010</v>
      </c>
    </row>
    <row r="11" spans="1:7" ht="21">
      <c r="A11" s="52" t="s">
        <v>731</v>
      </c>
      <c r="B11" s="135">
        <v>155</v>
      </c>
      <c r="C11" s="135">
        <v>156.9</v>
      </c>
      <c r="D11" s="135">
        <v>158.19999999999999</v>
      </c>
      <c r="E11" s="135">
        <v>159.5</v>
      </c>
      <c r="F11" s="135">
        <v>160.4</v>
      </c>
      <c r="G11" s="135">
        <v>161.69999999999999</v>
      </c>
    </row>
    <row r="12" spans="1:7">
      <c r="A12" s="52" t="s">
        <v>732</v>
      </c>
      <c r="B12" s="108">
        <v>210</v>
      </c>
      <c r="C12" s="108">
        <v>217</v>
      </c>
      <c r="D12" s="108">
        <v>218</v>
      </c>
      <c r="E12" s="108">
        <v>214</v>
      </c>
      <c r="F12" s="108">
        <v>215</v>
      </c>
      <c r="G12" s="108">
        <v>215</v>
      </c>
    </row>
    <row r="13" spans="1:7">
      <c r="A13" s="52" t="s">
        <v>733</v>
      </c>
      <c r="B13" s="263">
        <v>3587</v>
      </c>
      <c r="C13" s="263">
        <v>3629</v>
      </c>
      <c r="D13" s="263">
        <v>3641</v>
      </c>
      <c r="E13" s="263">
        <v>3669</v>
      </c>
      <c r="F13" s="263">
        <v>3675</v>
      </c>
      <c r="G13" s="263">
        <v>3659</v>
      </c>
    </row>
    <row r="14" spans="1:7" ht="13.8" thickBot="1">
      <c r="A14" s="69" t="s">
        <v>734</v>
      </c>
      <c r="B14" s="224">
        <v>40.200000000000003</v>
      </c>
      <c r="C14" s="44">
        <v>41</v>
      </c>
      <c r="D14" s="224">
        <v>41.4</v>
      </c>
      <c r="E14" s="224">
        <v>41.6</v>
      </c>
      <c r="F14" s="44">
        <v>42</v>
      </c>
      <c r="G14" s="224">
        <v>42.1</v>
      </c>
    </row>
    <row r="15" spans="1:7" ht="27.75" customHeight="1" thickTop="1">
      <c r="A15" s="608" t="s">
        <v>735</v>
      </c>
      <c r="B15" s="608"/>
      <c r="C15" s="608"/>
      <c r="D15" s="608"/>
      <c r="E15" s="608"/>
      <c r="F15" s="608"/>
      <c r="G15" s="608"/>
    </row>
    <row r="16" spans="1:7" ht="13.2" customHeight="1">
      <c r="A16" s="117"/>
      <c r="B16" s="145"/>
      <c r="C16" s="145"/>
      <c r="D16" s="145"/>
      <c r="E16" s="531" t="s">
        <v>300</v>
      </c>
      <c r="F16" s="531"/>
      <c r="G16" s="531"/>
    </row>
    <row r="17" spans="1:18" ht="12.75" customHeight="1">
      <c r="A17" s="117"/>
      <c r="C17" s="117"/>
      <c r="D17" s="117"/>
      <c r="E17" s="531" t="s">
        <v>736</v>
      </c>
      <c r="F17" s="531"/>
      <c r="G17" s="29" t="s">
        <v>737</v>
      </c>
    </row>
    <row r="18" spans="1:18">
      <c r="A18" s="42" t="s">
        <v>739</v>
      </c>
      <c r="D18" s="610">
        <v>17205</v>
      </c>
      <c r="E18" s="610"/>
      <c r="F18" s="609">
        <f t="shared" ref="F18:F23" si="0">ROUND(D18/$D$24,3)</f>
        <v>0.106</v>
      </c>
      <c r="G18" s="609"/>
    </row>
    <row r="19" spans="1:18" s="265" customFormat="1" ht="13.5" customHeight="1">
      <c r="A19" s="42" t="s">
        <v>740</v>
      </c>
      <c r="D19" s="610">
        <v>25011.9</v>
      </c>
      <c r="E19" s="610"/>
      <c r="F19" s="609">
        <f t="shared" si="0"/>
        <v>0.155</v>
      </c>
      <c r="G19" s="609"/>
    </row>
    <row r="20" spans="1:18" s="265" customFormat="1" ht="13.5" customHeight="1">
      <c r="A20" s="42" t="s">
        <v>741</v>
      </c>
      <c r="D20" s="610">
        <v>70934.600000000006</v>
      </c>
      <c r="E20" s="610"/>
      <c r="F20" s="609">
        <f t="shared" si="0"/>
        <v>0.439</v>
      </c>
      <c r="G20" s="609"/>
    </row>
    <row r="21" spans="1:18" s="265" customFormat="1" ht="13.5" customHeight="1">
      <c r="A21" s="42" t="s">
        <v>742</v>
      </c>
      <c r="D21" s="610">
        <v>23783.5</v>
      </c>
      <c r="E21" s="610"/>
      <c r="F21" s="609">
        <f t="shared" si="0"/>
        <v>0.14699999999999999</v>
      </c>
      <c r="G21" s="609"/>
    </row>
    <row r="22" spans="1:18" s="265" customFormat="1" ht="13.5" customHeight="1">
      <c r="A22" s="42" t="s">
        <v>743</v>
      </c>
      <c r="D22" s="610">
        <v>19279.599999999999</v>
      </c>
      <c r="E22" s="610"/>
      <c r="F22" s="609">
        <f t="shared" si="0"/>
        <v>0.11899999999999999</v>
      </c>
      <c r="G22" s="609"/>
    </row>
    <row r="23" spans="1:18" s="265" customFormat="1" ht="13.5" customHeight="1">
      <c r="A23" s="42" t="s">
        <v>744</v>
      </c>
      <c r="D23" s="610">
        <v>5465.5</v>
      </c>
      <c r="E23" s="610"/>
      <c r="F23" s="609">
        <f t="shared" si="0"/>
        <v>3.4000000000000002E-2</v>
      </c>
      <c r="G23" s="609"/>
    </row>
    <row r="24" spans="1:18" s="265" customFormat="1" ht="13.5" customHeight="1" thickBot="1">
      <c r="A24" s="234" t="s">
        <v>282</v>
      </c>
      <c r="D24" s="612">
        <f>SUM(D18:E23)</f>
        <v>161680.1</v>
      </c>
      <c r="E24" s="612"/>
      <c r="F24" s="611">
        <f>SUM(F18:G23)</f>
        <v>1</v>
      </c>
      <c r="G24" s="611"/>
    </row>
    <row r="25" spans="1:18" s="265" customFormat="1" ht="27" customHeight="1" thickTop="1">
      <c r="A25" s="604" t="s">
        <v>738</v>
      </c>
      <c r="B25" s="605"/>
      <c r="C25" s="605"/>
      <c r="D25" s="605"/>
      <c r="E25" s="605"/>
      <c r="F25" s="606"/>
      <c r="G25" s="606"/>
      <c r="H25" s="433"/>
      <c r="I25" s="433"/>
      <c r="J25" s="433"/>
      <c r="K25" s="433"/>
      <c r="L25" s="433"/>
      <c r="M25" s="433"/>
      <c r="N25" s="433"/>
      <c r="O25" s="433"/>
      <c r="P25" s="433"/>
      <c r="Q25" s="433"/>
      <c r="R25" s="433"/>
    </row>
    <row r="26" spans="1:18" s="265" customFormat="1" ht="13.5" customHeight="1">
      <c r="A26" s="117" t="s">
        <v>1103</v>
      </c>
      <c r="B26" s="531" t="s">
        <v>671</v>
      </c>
      <c r="C26" s="531"/>
      <c r="D26" s="531"/>
      <c r="E26" s="531"/>
      <c r="F26" s="531"/>
      <c r="G26" s="531"/>
    </row>
    <row r="27" spans="1:18" s="265" customFormat="1" ht="13.5" customHeight="1">
      <c r="A27" s="227" t="s">
        <v>1103</v>
      </c>
      <c r="B27" s="29">
        <v>2005</v>
      </c>
      <c r="C27" s="489">
        <v>2006</v>
      </c>
      <c r="D27" s="489">
        <v>2007</v>
      </c>
      <c r="E27" s="489">
        <v>2008</v>
      </c>
      <c r="F27" s="489">
        <v>2009</v>
      </c>
      <c r="G27" s="489">
        <v>2010</v>
      </c>
    </row>
    <row r="28" spans="1:18" s="265" customFormat="1" ht="13.5" customHeight="1">
      <c r="A28" s="227" t="s">
        <v>1103</v>
      </c>
      <c r="B28" s="29" t="s">
        <v>1104</v>
      </c>
      <c r="C28" s="29"/>
      <c r="D28" s="29"/>
      <c r="E28" s="29"/>
      <c r="F28" s="29"/>
      <c r="G28" s="29"/>
    </row>
    <row r="29" spans="1:18" s="265" customFormat="1" ht="10.199999999999999">
      <c r="A29" s="434" t="s">
        <v>745</v>
      </c>
      <c r="B29" s="435">
        <v>699.7</v>
      </c>
      <c r="C29" s="435">
        <v>717.8</v>
      </c>
      <c r="D29" s="435">
        <v>706.7</v>
      </c>
      <c r="E29" s="435">
        <v>714.3</v>
      </c>
      <c r="F29" s="435">
        <v>589.70000000000005</v>
      </c>
      <c r="G29" s="435">
        <v>661.2</v>
      </c>
    </row>
    <row r="30" spans="1:18">
      <c r="A30" s="436" t="s">
        <v>746</v>
      </c>
      <c r="B30" s="135">
        <v>646.9</v>
      </c>
      <c r="C30" s="135">
        <v>660.9</v>
      </c>
      <c r="D30" s="135">
        <v>654.79999999999995</v>
      </c>
      <c r="E30" s="135">
        <v>669.2</v>
      </c>
      <c r="F30" s="135">
        <v>552.4</v>
      </c>
      <c r="G30" s="135">
        <v>614.1</v>
      </c>
    </row>
    <row r="31" spans="1:18">
      <c r="A31" s="437" t="s">
        <v>747</v>
      </c>
      <c r="B31" s="135">
        <v>54.6</v>
      </c>
      <c r="C31" s="135">
        <v>57</v>
      </c>
      <c r="D31" s="135">
        <v>59.9</v>
      </c>
      <c r="E31" s="135">
        <v>61.4</v>
      </c>
      <c r="F31" s="135">
        <v>35.700000000000003</v>
      </c>
      <c r="G31" s="135">
        <v>35.299999999999997</v>
      </c>
    </row>
    <row r="32" spans="1:18">
      <c r="A32" s="437" t="s">
        <v>748</v>
      </c>
      <c r="B32" s="135">
        <v>0</v>
      </c>
      <c r="C32" s="135">
        <v>0</v>
      </c>
      <c r="D32" s="135">
        <v>0</v>
      </c>
      <c r="E32" s="135">
        <v>0</v>
      </c>
      <c r="F32" s="135">
        <v>0</v>
      </c>
      <c r="G32" s="135">
        <v>0.8</v>
      </c>
    </row>
    <row r="33" spans="1:7">
      <c r="A33" s="436" t="s">
        <v>749</v>
      </c>
      <c r="B33" s="135">
        <v>42.8</v>
      </c>
      <c r="C33" s="135">
        <v>48.2</v>
      </c>
      <c r="D33" s="135">
        <v>41.7</v>
      </c>
      <c r="E33" s="135">
        <v>36.1</v>
      </c>
      <c r="F33" s="135">
        <v>30</v>
      </c>
      <c r="G33" s="135">
        <v>40.799999999999997</v>
      </c>
    </row>
    <row r="34" spans="1:7" ht="37.950000000000003" customHeight="1" thickBot="1">
      <c r="A34" s="438" t="s">
        <v>750</v>
      </c>
      <c r="B34" s="44">
        <v>10</v>
      </c>
      <c r="C34" s="44">
        <v>8.6999999999999993</v>
      </c>
      <c r="D34" s="44">
        <v>10.199999999999999</v>
      </c>
      <c r="E34" s="44">
        <v>9</v>
      </c>
      <c r="F34" s="44">
        <v>7.3</v>
      </c>
      <c r="G34" s="44">
        <v>6.3</v>
      </c>
    </row>
    <row r="35" spans="1:7" ht="24.6" customHeight="1" thickTop="1">
      <c r="A35" s="434" t="s">
        <v>751</v>
      </c>
      <c r="B35" s="435">
        <v>699.7</v>
      </c>
      <c r="C35" s="435">
        <v>717.8</v>
      </c>
      <c r="D35" s="435">
        <v>706.7</v>
      </c>
      <c r="E35" s="435">
        <v>714.3</v>
      </c>
      <c r="F35" s="435">
        <v>589.70000000000005</v>
      </c>
      <c r="G35" s="435">
        <v>661.2</v>
      </c>
    </row>
    <row r="36" spans="1:7">
      <c r="A36" s="436" t="s">
        <v>753</v>
      </c>
      <c r="B36" s="135">
        <v>339.8</v>
      </c>
      <c r="C36" s="135">
        <v>352</v>
      </c>
      <c r="D36" s="135">
        <v>356.4</v>
      </c>
      <c r="E36" s="135">
        <v>352.8</v>
      </c>
      <c r="F36" s="135">
        <v>335.6</v>
      </c>
      <c r="G36" s="135">
        <v>354.9</v>
      </c>
    </row>
    <row r="37" spans="1:7">
      <c r="A37" s="437" t="s">
        <v>752</v>
      </c>
      <c r="B37" s="135">
        <v>0.1</v>
      </c>
      <c r="C37" s="135">
        <v>0.1</v>
      </c>
      <c r="D37" s="135">
        <v>0.1</v>
      </c>
      <c r="E37" s="135">
        <v>0.1</v>
      </c>
      <c r="F37" s="135">
        <v>0.1</v>
      </c>
      <c r="G37" s="135">
        <v>0.1</v>
      </c>
    </row>
    <row r="38" spans="1:7">
      <c r="A38" s="436" t="s">
        <v>754</v>
      </c>
      <c r="B38" s="135">
        <v>251.2</v>
      </c>
      <c r="C38" s="135">
        <v>254.7</v>
      </c>
      <c r="D38" s="135">
        <v>247.3</v>
      </c>
      <c r="E38" s="135">
        <v>251.1</v>
      </c>
      <c r="F38" s="135">
        <v>195.6</v>
      </c>
      <c r="G38" s="135">
        <v>209.3</v>
      </c>
    </row>
    <row r="39" spans="1:7">
      <c r="A39" s="437" t="s">
        <v>747</v>
      </c>
      <c r="B39" s="135">
        <v>54.5</v>
      </c>
      <c r="C39" s="135">
        <v>56.8</v>
      </c>
      <c r="D39" s="135">
        <v>59.7</v>
      </c>
      <c r="E39" s="135">
        <v>61.3</v>
      </c>
      <c r="F39" s="135">
        <v>35.6</v>
      </c>
      <c r="G39" s="135">
        <v>35.200000000000003</v>
      </c>
    </row>
    <row r="40" spans="1:7">
      <c r="A40" s="437" t="s">
        <v>748</v>
      </c>
      <c r="B40" s="135">
        <v>0</v>
      </c>
      <c r="C40" s="135">
        <v>0</v>
      </c>
      <c r="D40" s="135">
        <v>0</v>
      </c>
      <c r="E40" s="135">
        <v>0</v>
      </c>
      <c r="F40" s="135">
        <v>0</v>
      </c>
      <c r="G40" s="135">
        <v>0.8</v>
      </c>
    </row>
    <row r="41" spans="1:7">
      <c r="A41" s="436" t="s">
        <v>757</v>
      </c>
      <c r="B41" s="135">
        <v>46.3</v>
      </c>
      <c r="C41" s="135">
        <v>50.3</v>
      </c>
      <c r="D41" s="135">
        <v>43</v>
      </c>
      <c r="E41" s="135">
        <v>51.6</v>
      </c>
      <c r="F41" s="135">
        <v>15.7</v>
      </c>
      <c r="G41" s="135">
        <v>47.7</v>
      </c>
    </row>
    <row r="42" spans="1:7">
      <c r="A42" s="436" t="s">
        <v>755</v>
      </c>
      <c r="B42" s="135">
        <v>51.7</v>
      </c>
      <c r="C42" s="135">
        <v>52</v>
      </c>
      <c r="D42" s="135">
        <v>49.5</v>
      </c>
      <c r="E42" s="135">
        <v>49.6</v>
      </c>
      <c r="F42" s="135">
        <v>36.299999999999997</v>
      </c>
      <c r="G42" s="135">
        <v>43.6</v>
      </c>
    </row>
    <row r="43" spans="1:7" ht="36.6" customHeight="1" thickBot="1">
      <c r="A43" s="438" t="s">
        <v>756</v>
      </c>
      <c r="B43" s="44">
        <v>10.7</v>
      </c>
      <c r="C43" s="44">
        <v>8.8000000000000007</v>
      </c>
      <c r="D43" s="44">
        <v>10.5</v>
      </c>
      <c r="E43" s="44">
        <v>9.1999999999999993</v>
      </c>
      <c r="F43" s="44">
        <v>6.5</v>
      </c>
      <c r="G43" s="44">
        <v>5.7</v>
      </c>
    </row>
    <row r="44" spans="1:7" ht="13.8" thickTop="1"/>
    <row r="45" spans="1:7">
      <c r="A45" s="603" t="s">
        <v>213</v>
      </c>
      <c r="B45" s="603"/>
      <c r="C45" s="603"/>
      <c r="D45" s="603"/>
      <c r="E45" s="603"/>
      <c r="F45" s="603"/>
      <c r="G45" s="398"/>
    </row>
  </sheetData>
  <sheetProtection password="CAF1" sheet="1" formatCells="0" formatColumns="0" formatRows="0" insertColumns="0" insertRows="0" insertHyperlinks="0" deleteColumns="0" deleteRows="0" sort="0" autoFilter="0" pivotTables="0"/>
  <mergeCells count="24">
    <mergeCell ref="F24:G24"/>
    <mergeCell ref="F19:G19"/>
    <mergeCell ref="F20:G20"/>
    <mergeCell ref="D22:E22"/>
    <mergeCell ref="F23:G23"/>
    <mergeCell ref="D23:E23"/>
    <mergeCell ref="D24:E24"/>
    <mergeCell ref="F22:G22"/>
    <mergeCell ref="E16:G16"/>
    <mergeCell ref="A45:F45"/>
    <mergeCell ref="A25:G25"/>
    <mergeCell ref="B26:G26"/>
    <mergeCell ref="A2:G2"/>
    <mergeCell ref="B3:G3"/>
    <mergeCell ref="B9:G9"/>
    <mergeCell ref="A15:G15"/>
    <mergeCell ref="A8:G8"/>
    <mergeCell ref="F21:G21"/>
    <mergeCell ref="F18:G18"/>
    <mergeCell ref="D19:E19"/>
    <mergeCell ref="E17:F17"/>
    <mergeCell ref="D18:E18"/>
    <mergeCell ref="D20:E20"/>
    <mergeCell ref="D21:E21"/>
  </mergeCells>
  <phoneticPr fontId="7" type="noConversion"/>
  <hyperlinks>
    <hyperlink ref="A45:F45"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24" max="6" man="1"/>
  </rowBreaks>
</worksheet>
</file>

<file path=xl/worksheets/sheet2.xml><?xml version="1.0" encoding="utf-8"?>
<worksheet xmlns="http://schemas.openxmlformats.org/spreadsheetml/2006/main" xmlns:r="http://schemas.openxmlformats.org/officeDocument/2006/relationships">
  <dimension ref="A1:A24"/>
  <sheetViews>
    <sheetView zoomScaleNormal="100" zoomScaleSheetLayoutView="100" workbookViewId="0"/>
  </sheetViews>
  <sheetFormatPr defaultColWidth="0" defaultRowHeight="13.2" zeroHeight="1"/>
  <cols>
    <col min="1" max="1" width="100.88671875" style="2" customWidth="1"/>
    <col min="2" max="16384" width="0" style="2" hidden="1"/>
  </cols>
  <sheetData>
    <row r="1" spans="1:1" ht="15.6">
      <c r="A1" s="23" t="s">
        <v>208</v>
      </c>
    </row>
    <row r="2" spans="1:1" ht="53.25" customHeight="1">
      <c r="A2" s="24" t="s">
        <v>925</v>
      </c>
    </row>
    <row r="3" spans="1:1" ht="60.75" customHeight="1">
      <c r="A3" s="25" t="s">
        <v>209</v>
      </c>
    </row>
    <row r="4" spans="1:1" ht="71.25" customHeight="1">
      <c r="A4" s="25" t="s">
        <v>210</v>
      </c>
    </row>
    <row r="5" spans="1:1" ht="31.5" customHeight="1">
      <c r="A5" s="25" t="s">
        <v>211</v>
      </c>
    </row>
    <row r="6" spans="1:1" ht="63" customHeight="1">
      <c r="A6" s="25" t="s">
        <v>212</v>
      </c>
    </row>
    <row r="7" spans="1:1">
      <c r="A7" s="26"/>
    </row>
    <row r="8" spans="1:1">
      <c r="A8" s="479" t="s">
        <v>213</v>
      </c>
    </row>
    <row r="9" spans="1:1" hidden="1"/>
    <row r="10" spans="1:1" hidden="1"/>
    <row r="11" spans="1:1" hidden="1"/>
    <row r="12" spans="1:1" hidden="1"/>
    <row r="13" spans="1:1" hidden="1"/>
    <row r="14" spans="1:1" hidden="1"/>
    <row r="15" spans="1:1" hidden="1"/>
    <row r="16" spans="1:1" hidden="1"/>
    <row r="17" hidden="1"/>
    <row r="18" hidden="1"/>
    <row r="19" hidden="1"/>
    <row r="20" hidden="1"/>
    <row r="21" hidden="1"/>
    <row r="22" hidden="1"/>
    <row r="23" hidden="1"/>
    <row r="24" ht="12.75" hidden="1" customHeight="1"/>
  </sheetData>
  <sheetProtection password="CAF1" sheet="1" formatCells="0" formatColumns="0" formatRows="0" insertColumns="0" insertRows="0" insertHyperlinks="0" deleteColumns="0" deleteRows="0" sort="0" autoFilter="0" pivotTables="0"/>
  <phoneticPr fontId="7" type="noConversion"/>
  <hyperlinks>
    <hyperlink ref="A8" location="Contents!A1" display="Back to the Contents"/>
  </hyperlinks>
  <pageMargins left="0.25" right="0.25" top="0.75" bottom="0.75" header="0.3" footer="0.3"/>
  <pageSetup paperSize="9" firstPageNumber="2"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20.xml><?xml version="1.0" encoding="utf-8"?>
<worksheet xmlns="http://schemas.openxmlformats.org/spreadsheetml/2006/main" xmlns:r="http://schemas.openxmlformats.org/officeDocument/2006/relationships">
  <dimension ref="A1:R34"/>
  <sheetViews>
    <sheetView zoomScaleNormal="100" zoomScaleSheetLayoutView="100" workbookViewId="0"/>
  </sheetViews>
  <sheetFormatPr defaultColWidth="0" defaultRowHeight="13.2" zeroHeight="1"/>
  <cols>
    <col min="1" max="1" width="15.33203125" style="28" customWidth="1"/>
    <col min="2" max="2" width="16.6640625" style="28" customWidth="1"/>
    <col min="3" max="3" width="11.88671875" style="28" customWidth="1"/>
    <col min="4" max="4" width="9.6640625" style="28" customWidth="1"/>
    <col min="5" max="5" width="14.33203125" style="28" customWidth="1"/>
    <col min="6" max="6" width="32.88671875" style="28" customWidth="1"/>
    <col min="7" max="16384" width="0" style="28" hidden="1"/>
  </cols>
  <sheetData>
    <row r="1" spans="1:6" ht="15.6">
      <c r="A1" s="48" t="s">
        <v>758</v>
      </c>
    </row>
    <row r="2" spans="1:6">
      <c r="A2" s="256" t="s">
        <v>759</v>
      </c>
    </row>
    <row r="3" spans="1:6" ht="16.5" customHeight="1">
      <c r="A3" s="256"/>
    </row>
    <row r="4" spans="1:6" ht="39.9" customHeight="1">
      <c r="A4" s="256"/>
    </row>
    <row r="5" spans="1:6" ht="39.9" customHeight="1">
      <c r="A5" s="256"/>
    </row>
    <row r="6" spans="1:6" ht="39.9" customHeight="1">
      <c r="A6" s="256"/>
    </row>
    <row r="7" spans="1:6" ht="39.9" customHeight="1">
      <c r="A7" s="256"/>
    </row>
    <row r="8" spans="1:6" ht="39.9" customHeight="1">
      <c r="A8" s="256"/>
    </row>
    <row r="9" spans="1:6" ht="39.9" customHeight="1">
      <c r="A9" s="256"/>
    </row>
    <row r="10" spans="1:6" ht="39.9" customHeight="1">
      <c r="A10" s="256"/>
    </row>
    <row r="11" spans="1:6" ht="39.9" customHeight="1">
      <c r="A11" s="256"/>
    </row>
    <row r="12" spans="1:6" ht="39.9" customHeight="1">
      <c r="A12" s="256"/>
    </row>
    <row r="13" spans="1:6" ht="94.5" customHeight="1">
      <c r="A13" s="613"/>
      <c r="B13" s="613"/>
      <c r="C13" s="613"/>
      <c r="D13" s="613"/>
      <c r="E13" s="613"/>
      <c r="F13" s="613"/>
    </row>
    <row r="14" spans="1:6">
      <c r="A14" s="256" t="s">
        <v>1067</v>
      </c>
    </row>
    <row r="15" spans="1:6">
      <c r="A15" s="153" t="s">
        <v>1068</v>
      </c>
      <c r="B15" s="153" t="s">
        <v>1069</v>
      </c>
      <c r="C15" s="547" t="s">
        <v>1070</v>
      </c>
      <c r="D15" s="547"/>
      <c r="E15" s="547"/>
      <c r="F15" s="153" t="s">
        <v>181</v>
      </c>
    </row>
    <row r="16" spans="1:6" ht="20.399999999999999" customHeight="1">
      <c r="A16" s="153"/>
      <c r="B16" s="153"/>
      <c r="C16" s="153" t="s">
        <v>1071</v>
      </c>
      <c r="D16" s="153" t="s">
        <v>1072</v>
      </c>
      <c r="E16" s="153" t="s">
        <v>1073</v>
      </c>
      <c r="F16" s="153"/>
    </row>
    <row r="17" spans="1:18" ht="153.75" customHeight="1" thickBot="1">
      <c r="A17" s="123" t="s">
        <v>1074</v>
      </c>
      <c r="B17" s="123" t="s">
        <v>944</v>
      </c>
      <c r="C17" s="212" t="s">
        <v>1075</v>
      </c>
      <c r="D17" s="212" t="s">
        <v>936</v>
      </c>
      <c r="E17" s="212" t="s">
        <v>1076</v>
      </c>
      <c r="F17" s="123" t="s">
        <v>945</v>
      </c>
    </row>
    <row r="18" spans="1:18" ht="114.75" customHeight="1" thickBot="1">
      <c r="A18" s="291" t="s">
        <v>1077</v>
      </c>
      <c r="B18" s="291" t="s">
        <v>1078</v>
      </c>
      <c r="C18" s="292" t="s">
        <v>1079</v>
      </c>
      <c r="D18" s="292" t="s">
        <v>1080</v>
      </c>
      <c r="E18" s="292" t="s">
        <v>1081</v>
      </c>
      <c r="F18" s="291" t="s">
        <v>1082</v>
      </c>
    </row>
    <row r="19" spans="1:18" ht="188.25" customHeight="1" thickBot="1">
      <c r="A19" s="265" t="s">
        <v>1083</v>
      </c>
      <c r="B19" s="265" t="s">
        <v>1084</v>
      </c>
      <c r="C19" s="188" t="s">
        <v>471</v>
      </c>
      <c r="D19" s="188" t="s">
        <v>1085</v>
      </c>
      <c r="E19" s="188" t="s">
        <v>1086</v>
      </c>
      <c r="F19" s="123" t="s">
        <v>937</v>
      </c>
    </row>
    <row r="20" spans="1:18" ht="100.5" customHeight="1" thickBot="1">
      <c r="A20" s="291" t="s">
        <v>456</v>
      </c>
      <c r="B20" s="291" t="s">
        <v>457</v>
      </c>
      <c r="C20" s="292" t="s">
        <v>458</v>
      </c>
      <c r="D20" s="292" t="s">
        <v>459</v>
      </c>
      <c r="E20" s="292" t="s">
        <v>460</v>
      </c>
      <c r="F20" s="291" t="s">
        <v>938</v>
      </c>
    </row>
    <row r="21" spans="1:18" ht="182.25" customHeight="1">
      <c r="A21" s="271" t="s">
        <v>461</v>
      </c>
      <c r="B21" s="271" t="s">
        <v>462</v>
      </c>
      <c r="C21" s="272" t="s">
        <v>463</v>
      </c>
      <c r="D21" s="272" t="s">
        <v>1065</v>
      </c>
      <c r="E21" s="272" t="s">
        <v>464</v>
      </c>
      <c r="F21" s="293" t="s">
        <v>939</v>
      </c>
    </row>
    <row r="22" spans="1:18" ht="194.25" customHeight="1" thickBot="1">
      <c r="A22" s="266"/>
      <c r="B22" s="266"/>
      <c r="C22" s="267"/>
      <c r="D22" s="267"/>
      <c r="E22" s="267"/>
      <c r="F22" s="294" t="s">
        <v>940</v>
      </c>
    </row>
    <row r="23" spans="1:18" ht="105.75" customHeight="1" thickBot="1">
      <c r="A23" s="291" t="s">
        <v>465</v>
      </c>
      <c r="B23" s="291" t="s">
        <v>469</v>
      </c>
      <c r="C23" s="292" t="s">
        <v>470</v>
      </c>
      <c r="D23" s="292" t="s">
        <v>466</v>
      </c>
      <c r="E23" s="292" t="s">
        <v>467</v>
      </c>
      <c r="F23" s="291" t="s">
        <v>468</v>
      </c>
    </row>
    <row r="24" spans="1:18" ht="107.25" customHeight="1" thickBot="1">
      <c r="A24" s="265" t="s">
        <v>472</v>
      </c>
      <c r="B24" s="265" t="s">
        <v>473</v>
      </c>
      <c r="C24" s="188" t="s">
        <v>1065</v>
      </c>
      <c r="D24" s="188" t="s">
        <v>1065</v>
      </c>
      <c r="E24" s="188" t="s">
        <v>474</v>
      </c>
      <c r="F24" s="265" t="s">
        <v>475</v>
      </c>
    </row>
    <row r="25" spans="1:18" ht="95.25" customHeight="1" thickBot="1">
      <c r="A25" s="291" t="s">
        <v>476</v>
      </c>
      <c r="B25" s="291" t="s">
        <v>477</v>
      </c>
      <c r="C25" s="292" t="s">
        <v>478</v>
      </c>
      <c r="D25" s="292" t="s">
        <v>479</v>
      </c>
      <c r="E25" s="292" t="s">
        <v>480</v>
      </c>
      <c r="F25" s="291" t="s">
        <v>481</v>
      </c>
      <c r="G25" s="424"/>
      <c r="H25" s="424"/>
      <c r="I25" s="424"/>
      <c r="J25" s="424"/>
      <c r="K25" s="424"/>
      <c r="L25" s="424"/>
      <c r="M25" s="424"/>
      <c r="N25" s="424"/>
      <c r="O25" s="424"/>
      <c r="P25" s="424"/>
      <c r="Q25" s="424"/>
      <c r="R25" s="424"/>
    </row>
    <row r="26" spans="1:18" ht="106.5" customHeight="1" thickBot="1">
      <c r="A26" s="400" t="s">
        <v>1135</v>
      </c>
      <c r="B26" s="400" t="s">
        <v>1136</v>
      </c>
      <c r="C26" s="401" t="s">
        <v>1137</v>
      </c>
      <c r="D26" s="401" t="s">
        <v>1138</v>
      </c>
      <c r="E26" s="401" t="s">
        <v>1139</v>
      </c>
      <c r="F26" s="400" t="s">
        <v>1140</v>
      </c>
    </row>
    <row r="27" spans="1:18" ht="62.4" customHeight="1">
      <c r="A27" s="402" t="s">
        <v>592</v>
      </c>
      <c r="B27" s="614" t="s">
        <v>594</v>
      </c>
      <c r="C27" s="403" t="s">
        <v>595</v>
      </c>
      <c r="D27" s="403" t="s">
        <v>597</v>
      </c>
      <c r="E27" s="403" t="s">
        <v>599</v>
      </c>
      <c r="F27" s="616" t="s">
        <v>941</v>
      </c>
    </row>
    <row r="28" spans="1:18" ht="97.5" customHeight="1" thickBot="1">
      <c r="A28" s="266" t="s">
        <v>593</v>
      </c>
      <c r="B28" s="615"/>
      <c r="C28" s="267" t="s">
        <v>596</v>
      </c>
      <c r="D28" s="267" t="s">
        <v>598</v>
      </c>
      <c r="E28" s="267" t="s">
        <v>600</v>
      </c>
      <c r="F28" s="617"/>
    </row>
    <row r="29" spans="1:18" ht="148.5" customHeight="1" thickBot="1">
      <c r="A29" s="291" t="s">
        <v>601</v>
      </c>
      <c r="B29" s="291" t="s">
        <v>1141</v>
      </c>
      <c r="C29" s="292" t="s">
        <v>1142</v>
      </c>
      <c r="D29" s="292" t="s">
        <v>602</v>
      </c>
      <c r="E29" s="292" t="s">
        <v>603</v>
      </c>
      <c r="F29" s="291" t="s">
        <v>942</v>
      </c>
    </row>
    <row r="30" spans="1:18" ht="80.25" customHeight="1" thickBot="1">
      <c r="A30" s="265" t="s">
        <v>604</v>
      </c>
      <c r="B30" s="265" t="s">
        <v>605</v>
      </c>
      <c r="C30" s="188" t="s">
        <v>606</v>
      </c>
      <c r="D30" s="188" t="s">
        <v>1085</v>
      </c>
      <c r="E30" s="188" t="s">
        <v>607</v>
      </c>
      <c r="F30" s="265" t="s">
        <v>608</v>
      </c>
    </row>
    <row r="31" spans="1:18" ht="47.4" customHeight="1" thickBot="1">
      <c r="A31" s="271" t="s">
        <v>609</v>
      </c>
      <c r="B31" s="271" t="s">
        <v>610</v>
      </c>
      <c r="C31" s="272" t="s">
        <v>611</v>
      </c>
      <c r="D31" s="272" t="s">
        <v>612</v>
      </c>
      <c r="E31" s="272" t="s">
        <v>613</v>
      </c>
      <c r="F31" s="271" t="s">
        <v>614</v>
      </c>
    </row>
    <row r="32" spans="1:18" ht="82.2" thickBot="1">
      <c r="A32" s="295" t="s">
        <v>615</v>
      </c>
      <c r="B32" s="295" t="s">
        <v>1143</v>
      </c>
      <c r="C32" s="296" t="s">
        <v>1170</v>
      </c>
      <c r="D32" s="296"/>
      <c r="E32" s="296" t="s">
        <v>616</v>
      </c>
      <c r="F32" s="295" t="s">
        <v>943</v>
      </c>
    </row>
    <row r="33" spans="1:6" ht="13.8" thickTop="1"/>
    <row r="34" spans="1:6">
      <c r="A34" s="603" t="s">
        <v>213</v>
      </c>
      <c r="B34" s="603"/>
      <c r="C34" s="603"/>
      <c r="D34" s="603"/>
      <c r="E34" s="603"/>
      <c r="F34" s="603"/>
    </row>
  </sheetData>
  <sheetProtection password="CAF1" sheet="1" formatCells="0" formatColumns="0" formatRows="0" insertColumns="0" insertRows="0" insertHyperlinks="0" deleteColumns="0" deleteRows="0" sort="0" autoFilter="0" pivotTables="0"/>
  <mergeCells count="5">
    <mergeCell ref="A13:F13"/>
    <mergeCell ref="C15:E15"/>
    <mergeCell ref="A34:F34"/>
    <mergeCell ref="B27:B28"/>
    <mergeCell ref="F27:F28"/>
  </mergeCells>
  <phoneticPr fontId="24" type="noConversion"/>
  <hyperlinks>
    <hyperlink ref="A34:F34"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3" manualBreakCount="3">
    <brk id="13" max="5" man="1"/>
    <brk id="20" max="5" man="1"/>
    <brk id="26" max="5" man="1"/>
  </rowBreaks>
  <drawing r:id="rId2"/>
</worksheet>
</file>

<file path=xl/worksheets/sheet21.xml><?xml version="1.0" encoding="utf-8"?>
<worksheet xmlns="http://schemas.openxmlformats.org/spreadsheetml/2006/main" xmlns:r="http://schemas.openxmlformats.org/officeDocument/2006/relationships">
  <dimension ref="A1:W77"/>
  <sheetViews>
    <sheetView zoomScaleNormal="100" zoomScaleSheetLayoutView="100" workbookViewId="0"/>
  </sheetViews>
  <sheetFormatPr defaultColWidth="0" defaultRowHeight="13.2" zeroHeight="1" outlineLevelCol="1"/>
  <cols>
    <col min="1" max="1" width="44.33203125" style="49" customWidth="1"/>
    <col min="2" max="2" width="13.109375" style="49" hidden="1" customWidth="1" outlineLevel="1"/>
    <col min="3" max="3" width="9.33203125" style="49" customWidth="1" collapsed="1"/>
    <col min="4" max="7" width="8.5546875" style="49" customWidth="1"/>
    <col min="8" max="16384" width="0" style="49" hidden="1"/>
  </cols>
  <sheetData>
    <row r="1" spans="1:7" ht="15.6">
      <c r="A1" s="48" t="s">
        <v>760</v>
      </c>
      <c r="B1" s="28"/>
      <c r="C1" s="28"/>
      <c r="D1" s="28"/>
      <c r="E1" s="28"/>
      <c r="F1" s="28"/>
      <c r="G1" s="28"/>
    </row>
    <row r="2" spans="1:7" ht="33" customHeight="1">
      <c r="A2" s="618" t="s">
        <v>761</v>
      </c>
      <c r="B2" s="618"/>
      <c r="C2" s="618"/>
      <c r="D2" s="618"/>
      <c r="E2" s="618"/>
      <c r="F2" s="618"/>
      <c r="G2" s="280"/>
    </row>
    <row r="3" spans="1:7" ht="33" customHeight="1">
      <c r="A3" s="279"/>
      <c r="B3" s="279"/>
      <c r="C3" s="279"/>
      <c r="D3" s="279"/>
      <c r="E3" s="279"/>
      <c r="F3" s="279"/>
      <c r="G3" s="280"/>
    </row>
    <row r="4" spans="1:7" ht="33" customHeight="1">
      <c r="A4" s="279"/>
      <c r="B4" s="279"/>
      <c r="C4" s="279"/>
      <c r="D4" s="279"/>
      <c r="E4" s="279"/>
      <c r="F4" s="279"/>
      <c r="G4" s="280"/>
    </row>
    <row r="5" spans="1:7" ht="33" customHeight="1">
      <c r="A5" s="279"/>
      <c r="B5" s="279"/>
      <c r="C5" s="279"/>
      <c r="D5" s="279"/>
      <c r="E5" s="279"/>
      <c r="F5" s="279"/>
      <c r="G5" s="280"/>
    </row>
    <row r="6" spans="1:7" ht="33" customHeight="1">
      <c r="A6" s="279"/>
      <c r="B6" s="279"/>
      <c r="C6" s="279"/>
      <c r="D6" s="279"/>
      <c r="E6" s="279"/>
      <c r="F6" s="279"/>
      <c r="G6" s="280"/>
    </row>
    <row r="7" spans="1:7" ht="33" customHeight="1">
      <c r="A7" s="279"/>
      <c r="B7" s="279"/>
      <c r="C7" s="279"/>
      <c r="D7" s="279"/>
      <c r="E7" s="279"/>
      <c r="F7" s="279"/>
      <c r="G7" s="280"/>
    </row>
    <row r="8" spans="1:7" ht="33" customHeight="1">
      <c r="A8" s="279"/>
      <c r="B8" s="279"/>
      <c r="C8" s="279"/>
      <c r="D8" s="279"/>
      <c r="E8" s="279"/>
      <c r="F8" s="279"/>
      <c r="G8" s="280"/>
    </row>
    <row r="9" spans="1:7" ht="33" customHeight="1">
      <c r="A9" s="279"/>
      <c r="B9" s="279"/>
      <c r="C9" s="279"/>
      <c r="D9" s="279"/>
      <c r="E9" s="279"/>
      <c r="F9" s="279"/>
      <c r="G9" s="280"/>
    </row>
    <row r="10" spans="1:7" ht="33" customHeight="1">
      <c r="A10" s="279"/>
      <c r="B10" s="279"/>
      <c r="C10" s="279"/>
      <c r="D10" s="279"/>
      <c r="E10" s="279"/>
      <c r="F10" s="279"/>
      <c r="G10" s="280"/>
    </row>
    <row r="11" spans="1:7" ht="33" customHeight="1">
      <c r="A11" s="279"/>
      <c r="B11" s="279"/>
      <c r="C11" s="279"/>
      <c r="D11" s="279"/>
      <c r="E11" s="279"/>
      <c r="F11" s="279"/>
      <c r="G11" s="280"/>
    </row>
    <row r="12" spans="1:7" ht="18" customHeight="1">
      <c r="A12" s="279"/>
      <c r="B12" s="279"/>
      <c r="C12" s="279"/>
      <c r="D12" s="279"/>
      <c r="E12" s="279"/>
      <c r="F12" s="279"/>
      <c r="G12" s="280"/>
    </row>
    <row r="13" spans="1:7" ht="15.75" customHeight="1">
      <c r="A13" s="256" t="s">
        <v>762</v>
      </c>
      <c r="B13" s="28"/>
      <c r="C13" s="28"/>
      <c r="D13" s="28"/>
      <c r="E13" s="28"/>
      <c r="F13" s="28"/>
      <c r="G13" s="28"/>
    </row>
    <row r="14" spans="1:7" ht="13.2" customHeight="1">
      <c r="A14" s="29"/>
      <c r="B14" s="531" t="s">
        <v>300</v>
      </c>
      <c r="C14" s="531"/>
      <c r="D14" s="531"/>
      <c r="E14" s="531"/>
      <c r="F14" s="531"/>
      <c r="G14" s="531"/>
    </row>
    <row r="15" spans="1:7">
      <c r="A15" s="29"/>
      <c r="B15" s="489">
        <v>2005</v>
      </c>
      <c r="C15" s="489">
        <v>2006</v>
      </c>
      <c r="D15" s="489">
        <v>2007</v>
      </c>
      <c r="E15" s="489">
        <v>2008</v>
      </c>
      <c r="F15" s="489">
        <v>2009</v>
      </c>
      <c r="G15" s="489">
        <v>2010</v>
      </c>
    </row>
    <row r="16" spans="1:7" ht="12.75" customHeight="1">
      <c r="A16" s="52" t="s">
        <v>763</v>
      </c>
      <c r="B16" s="108">
        <v>24</v>
      </c>
      <c r="C16" s="108">
        <v>25</v>
      </c>
      <c r="D16" s="108">
        <v>25</v>
      </c>
      <c r="E16" s="108">
        <v>25</v>
      </c>
      <c r="F16" s="108">
        <v>25</v>
      </c>
      <c r="G16" s="108">
        <v>25</v>
      </c>
    </row>
    <row r="17" spans="1:23">
      <c r="A17" s="52" t="s">
        <v>764</v>
      </c>
      <c r="B17" s="60">
        <v>64.25</v>
      </c>
      <c r="C17" s="60">
        <v>64.650000000000006</v>
      </c>
      <c r="D17" s="60">
        <v>64.94</v>
      </c>
      <c r="E17" s="60">
        <v>65.2</v>
      </c>
      <c r="F17" s="60">
        <v>65.2</v>
      </c>
      <c r="G17" s="60">
        <v>65.41</v>
      </c>
    </row>
    <row r="18" spans="1:23" ht="13.8" thickBot="1">
      <c r="A18" s="69" t="s">
        <v>765</v>
      </c>
      <c r="B18" s="281">
        <v>2509</v>
      </c>
      <c r="C18" s="281">
        <v>2588</v>
      </c>
      <c r="D18" s="281">
        <v>2618</v>
      </c>
      <c r="E18" s="281">
        <v>2615</v>
      </c>
      <c r="F18" s="281">
        <v>2601</v>
      </c>
      <c r="G18" s="281">
        <v>2564</v>
      </c>
    </row>
    <row r="19" spans="1:23" ht="18" customHeight="1" thickTop="1">
      <c r="A19" s="256" t="s">
        <v>766</v>
      </c>
      <c r="B19" s="28"/>
      <c r="C19" s="28"/>
      <c r="D19" s="28"/>
      <c r="E19" s="28"/>
      <c r="F19" s="28"/>
      <c r="G19" s="28"/>
    </row>
    <row r="20" spans="1:23" ht="13.2" customHeight="1">
      <c r="A20" s="117"/>
      <c r="B20" s="531" t="s">
        <v>1145</v>
      </c>
      <c r="C20" s="531"/>
      <c r="D20" s="531"/>
      <c r="E20" s="531"/>
      <c r="F20" s="531"/>
      <c r="G20" s="531"/>
    </row>
    <row r="21" spans="1:23">
      <c r="A21" s="29"/>
      <c r="B21" s="489">
        <v>2005</v>
      </c>
      <c r="C21" s="489">
        <v>2006</v>
      </c>
      <c r="D21" s="489">
        <v>2007</v>
      </c>
      <c r="E21" s="489">
        <v>2008</v>
      </c>
      <c r="F21" s="489">
        <v>2009</v>
      </c>
      <c r="G21" s="489">
        <v>2010</v>
      </c>
    </row>
    <row r="22" spans="1:23">
      <c r="A22" s="52" t="s">
        <v>1144</v>
      </c>
      <c r="B22" s="119"/>
      <c r="C22" s="119"/>
      <c r="D22" s="119"/>
      <c r="E22" s="282"/>
      <c r="F22" s="282"/>
      <c r="G22" s="282"/>
    </row>
    <row r="23" spans="1:23">
      <c r="A23" s="283" t="s">
        <v>678</v>
      </c>
      <c r="B23" s="167">
        <v>0</v>
      </c>
      <c r="C23" s="167">
        <v>0</v>
      </c>
      <c r="D23" s="167">
        <v>1074.8</v>
      </c>
      <c r="E23" s="167">
        <v>107.1</v>
      </c>
      <c r="F23" s="167">
        <v>161.4</v>
      </c>
      <c r="G23" s="167">
        <f>ROUND(866.627,1)</f>
        <v>866.6</v>
      </c>
    </row>
    <row r="24" spans="1:23">
      <c r="A24" s="283" t="s">
        <v>679</v>
      </c>
      <c r="B24" s="167">
        <v>19513.3</v>
      </c>
      <c r="C24" s="167">
        <v>21189.200000000001</v>
      </c>
      <c r="D24" s="167">
        <v>21295.599999999999</v>
      </c>
      <c r="E24" s="167">
        <v>24370.5</v>
      </c>
      <c r="F24" s="167">
        <v>3075</v>
      </c>
      <c r="G24" s="167">
        <f>ROUND(24097.694,1)</f>
        <v>24097.7</v>
      </c>
    </row>
    <row r="25" spans="1:23">
      <c r="A25" s="283" t="s">
        <v>680</v>
      </c>
      <c r="B25" s="382">
        <v>22416.6</v>
      </c>
      <c r="C25" s="167">
        <v>25659.5</v>
      </c>
      <c r="D25" s="167">
        <v>19766.099999999999</v>
      </c>
      <c r="E25" s="167">
        <v>24020.400000000001</v>
      </c>
      <c r="F25" s="167">
        <v>10116.9</v>
      </c>
      <c r="G25" s="167">
        <f>ROUND(20680.963,1)</f>
        <v>20681</v>
      </c>
      <c r="H25" s="424"/>
      <c r="I25" s="424"/>
      <c r="J25" s="424"/>
      <c r="K25" s="424"/>
      <c r="L25" s="424"/>
      <c r="M25" s="424"/>
      <c r="N25" s="424"/>
      <c r="O25" s="424"/>
      <c r="P25" s="424"/>
      <c r="Q25" s="424"/>
      <c r="R25" s="424"/>
      <c r="S25" s="28"/>
      <c r="T25" s="28"/>
      <c r="U25" s="28"/>
      <c r="V25" s="28"/>
      <c r="W25" s="28"/>
    </row>
    <row r="26" spans="1:23" ht="12.75" customHeight="1">
      <c r="A26" s="283" t="s">
        <v>681</v>
      </c>
      <c r="B26" s="167">
        <v>4385.1000000000004</v>
      </c>
      <c r="C26" s="167">
        <v>3500.8</v>
      </c>
      <c r="D26" s="167">
        <v>859.5</v>
      </c>
      <c r="E26" s="167">
        <v>3150.4</v>
      </c>
      <c r="F26" s="167">
        <v>2319.1</v>
      </c>
      <c r="G26" s="167">
        <f>ROUND(2085.394,1)</f>
        <v>2085.4</v>
      </c>
      <c r="H26" s="260"/>
      <c r="I26" s="260"/>
      <c r="J26" s="260"/>
      <c r="K26" s="260"/>
      <c r="L26" s="260"/>
      <c r="M26" s="260"/>
      <c r="N26" s="260"/>
      <c r="O26" s="260"/>
      <c r="P26" s="260"/>
      <c r="Q26" s="260"/>
      <c r="R26" s="260"/>
      <c r="S26" s="260"/>
      <c r="T26" s="260"/>
      <c r="U26" s="260"/>
      <c r="V26" s="260"/>
      <c r="W26" s="260"/>
    </row>
    <row r="27" spans="1:23">
      <c r="A27" s="284" t="s">
        <v>767</v>
      </c>
      <c r="B27" s="285">
        <v>46315</v>
      </c>
      <c r="C27" s="285">
        <f>SUM(C23:C26)</f>
        <v>50349.5</v>
      </c>
      <c r="D27" s="285">
        <f>SUM(D23:D26)</f>
        <v>42996</v>
      </c>
      <c r="E27" s="285">
        <f>SUM(E23:E26)</f>
        <v>51648.4</v>
      </c>
      <c r="F27" s="285">
        <f>SUM(F23:F26)</f>
        <v>15672.4</v>
      </c>
      <c r="G27" s="285">
        <f>SUM(G23:G26)</f>
        <v>47730.700000000004</v>
      </c>
      <c r="H27" s="260"/>
      <c r="I27" s="260"/>
      <c r="J27" s="260"/>
      <c r="K27" s="260"/>
      <c r="L27" s="260"/>
      <c r="M27" s="260"/>
      <c r="N27" s="260"/>
      <c r="O27" s="260"/>
      <c r="P27" s="260"/>
      <c r="Q27" s="260"/>
      <c r="R27" s="260"/>
      <c r="S27" s="260"/>
      <c r="T27" s="260"/>
      <c r="U27" s="260"/>
      <c r="V27" s="260"/>
      <c r="W27" s="216"/>
    </row>
    <row r="28" spans="1:23" ht="13.2" customHeight="1">
      <c r="A28" s="286"/>
      <c r="B28" s="29" t="s">
        <v>771</v>
      </c>
      <c r="C28" s="531" t="s">
        <v>1146</v>
      </c>
      <c r="D28" s="531"/>
      <c r="E28" s="531"/>
      <c r="F28" s="531"/>
      <c r="G28" s="531"/>
      <c r="H28" s="131"/>
      <c r="I28" s="131"/>
      <c r="J28" s="131"/>
      <c r="K28" s="131"/>
      <c r="L28" s="131"/>
      <c r="M28" s="131"/>
      <c r="N28" s="131"/>
      <c r="O28" s="131"/>
      <c r="P28" s="131"/>
      <c r="Q28" s="131"/>
      <c r="R28" s="131"/>
      <c r="S28" s="131"/>
      <c r="T28" s="131"/>
      <c r="U28" s="131"/>
      <c r="V28" s="131"/>
      <c r="W28" s="131"/>
    </row>
    <row r="29" spans="1:23">
      <c r="A29" s="286"/>
      <c r="B29" s="489" t="s">
        <v>201</v>
      </c>
      <c r="C29" s="489" t="s">
        <v>202</v>
      </c>
      <c r="D29" s="489" t="s">
        <v>203</v>
      </c>
      <c r="E29" s="489" t="s">
        <v>204</v>
      </c>
      <c r="F29" s="489" t="s">
        <v>205</v>
      </c>
      <c r="G29" s="489" t="s">
        <v>194</v>
      </c>
      <c r="H29" s="40"/>
      <c r="I29" s="40"/>
      <c r="J29" s="40"/>
      <c r="K29" s="40"/>
      <c r="L29" s="40"/>
      <c r="M29" s="40"/>
      <c r="N29" s="40"/>
      <c r="O29" s="40"/>
      <c r="P29" s="40"/>
      <c r="Q29" s="40"/>
      <c r="R29" s="40"/>
      <c r="S29" s="40"/>
      <c r="T29" s="40"/>
      <c r="U29" s="40"/>
      <c r="V29" s="40"/>
      <c r="W29" s="131"/>
    </row>
    <row r="30" spans="1:23">
      <c r="A30" s="52" t="s">
        <v>1147</v>
      </c>
      <c r="B30" s="108"/>
      <c r="C30" s="108"/>
      <c r="D30" s="108"/>
      <c r="E30" s="108"/>
      <c r="F30" s="108"/>
      <c r="G30" s="108"/>
      <c r="H30" s="40"/>
      <c r="I30" s="40"/>
      <c r="J30" s="40"/>
      <c r="K30" s="40"/>
      <c r="L30" s="40"/>
      <c r="M30" s="40"/>
      <c r="N30" s="40"/>
      <c r="O30" s="40"/>
      <c r="P30" s="40"/>
      <c r="Q30" s="40"/>
      <c r="R30" s="40"/>
      <c r="S30" s="40"/>
      <c r="T30" s="40"/>
      <c r="U30" s="40"/>
      <c r="V30" s="40"/>
      <c r="W30" s="40"/>
    </row>
    <row r="31" spans="1:23">
      <c r="A31" s="283" t="s">
        <v>768</v>
      </c>
      <c r="B31" s="167">
        <v>185.7</v>
      </c>
      <c r="C31" s="167">
        <v>4.0999999999999996</v>
      </c>
      <c r="D31" s="167">
        <v>89.7</v>
      </c>
      <c r="E31" s="167">
        <v>107.1</v>
      </c>
      <c r="F31" s="167">
        <v>155.80000000000001</v>
      </c>
      <c r="G31" s="167">
        <v>135</v>
      </c>
      <c r="H31" s="40"/>
      <c r="I31" s="40"/>
      <c r="J31" s="40"/>
      <c r="K31" s="40"/>
      <c r="L31" s="40"/>
      <c r="M31" s="40"/>
      <c r="N31" s="40"/>
      <c r="O31" s="40"/>
      <c r="P31" s="40"/>
      <c r="Q31" s="40"/>
      <c r="R31" s="40"/>
      <c r="S31" s="40"/>
      <c r="T31" s="40"/>
      <c r="U31" s="40"/>
      <c r="V31" s="40"/>
      <c r="W31" s="40"/>
    </row>
    <row r="32" spans="1:23">
      <c r="A32" s="283" t="s">
        <v>681</v>
      </c>
      <c r="B32" s="167">
        <v>12873.2</v>
      </c>
      <c r="C32" s="167">
        <v>12743.4</v>
      </c>
      <c r="D32" s="167">
        <v>21688.7</v>
      </c>
      <c r="E32" s="167">
        <v>7634.2</v>
      </c>
      <c r="F32" s="167">
        <v>18980.5</v>
      </c>
      <c r="G32" s="167">
        <v>14428.8</v>
      </c>
      <c r="H32" s="40"/>
      <c r="I32" s="40"/>
      <c r="J32" s="40"/>
      <c r="K32" s="40"/>
      <c r="L32" s="40"/>
      <c r="M32" s="40"/>
      <c r="N32" s="40"/>
      <c r="O32" s="40"/>
      <c r="P32" s="40"/>
      <c r="Q32" s="40"/>
      <c r="R32" s="40"/>
      <c r="S32" s="40"/>
      <c r="T32" s="40"/>
      <c r="U32" s="40"/>
      <c r="V32" s="40"/>
      <c r="W32" s="40"/>
    </row>
    <row r="33" spans="1:7" ht="12.75" customHeight="1">
      <c r="A33" s="283" t="s">
        <v>769</v>
      </c>
      <c r="B33" s="167">
        <v>34936</v>
      </c>
      <c r="C33" s="167">
        <v>19763.599999999999</v>
      </c>
      <c r="D33" s="167">
        <v>28347.1</v>
      </c>
      <c r="E33" s="167">
        <v>8653.9</v>
      </c>
      <c r="F33" s="167">
        <v>26176.9</v>
      </c>
      <c r="G33" s="167">
        <v>31740.7</v>
      </c>
    </row>
    <row r="34" spans="1:7">
      <c r="A34" s="283" t="s">
        <v>770</v>
      </c>
      <c r="B34" s="167">
        <v>518.1</v>
      </c>
      <c r="C34" s="167">
        <v>116.5</v>
      </c>
      <c r="D34" s="167">
        <v>18.5</v>
      </c>
      <c r="E34" s="167">
        <v>2234</v>
      </c>
      <c r="F34" s="167">
        <v>44.4</v>
      </c>
      <c r="G34" s="167">
        <v>1307.9000000000001</v>
      </c>
    </row>
    <row r="35" spans="1:7" ht="13.8" thickBot="1">
      <c r="A35" s="287" t="s">
        <v>767</v>
      </c>
      <c r="B35" s="165">
        <v>48513</v>
      </c>
      <c r="C35" s="165">
        <f>SUM(C31:C34)</f>
        <v>32627.599999999999</v>
      </c>
      <c r="D35" s="165">
        <f>SUM(D31:D34)</f>
        <v>50144</v>
      </c>
      <c r="E35" s="165">
        <f>SUM(E31:E34)</f>
        <v>18629.2</v>
      </c>
      <c r="F35" s="165">
        <f>SUM(F31:F34)</f>
        <v>45357.599999999999</v>
      </c>
      <c r="G35" s="165">
        <f>SUM(G31:G34)</f>
        <v>47612.4</v>
      </c>
    </row>
    <row r="36" spans="1:7">
      <c r="A36" s="46" t="s">
        <v>772</v>
      </c>
      <c r="B36" s="136">
        <v>568</v>
      </c>
      <c r="C36" s="136">
        <v>600</v>
      </c>
      <c r="D36" s="136">
        <v>608</v>
      </c>
      <c r="E36" s="136">
        <v>620</v>
      </c>
      <c r="F36" s="136">
        <v>620</v>
      </c>
      <c r="G36" s="136">
        <v>620</v>
      </c>
    </row>
    <row r="37" spans="1:7" ht="25.95" customHeight="1" thickBot="1">
      <c r="A37" s="69" t="s">
        <v>773</v>
      </c>
      <c r="B37" s="44">
        <v>477.5</v>
      </c>
      <c r="C37" s="44">
        <v>488</v>
      </c>
      <c r="D37" s="44">
        <v>492.4</v>
      </c>
      <c r="E37" s="44">
        <v>500</v>
      </c>
      <c r="F37" s="44">
        <v>500</v>
      </c>
      <c r="G37" s="44">
        <v>500</v>
      </c>
    </row>
    <row r="38" spans="1:7" ht="16.2" thickTop="1">
      <c r="A38" s="288"/>
      <c r="B38" s="28"/>
      <c r="C38" s="28"/>
      <c r="D38" s="28"/>
      <c r="E38" s="28"/>
      <c r="F38" s="28"/>
      <c r="G38" s="28"/>
    </row>
    <row r="39" spans="1:7" ht="25.5" customHeight="1">
      <c r="A39" s="618" t="s">
        <v>774</v>
      </c>
      <c r="B39" s="618"/>
      <c r="C39" s="618"/>
      <c r="D39" s="618"/>
      <c r="E39" s="618"/>
      <c r="F39" s="618"/>
      <c r="G39" s="279"/>
    </row>
    <row r="40" spans="1:7" ht="39.9" customHeight="1">
      <c r="A40" s="279"/>
      <c r="B40" s="279"/>
      <c r="C40" s="279"/>
      <c r="D40" s="279"/>
      <c r="E40" s="279"/>
      <c r="F40" s="279"/>
      <c r="G40" s="279"/>
    </row>
    <row r="41" spans="1:7" ht="39.9" customHeight="1">
      <c r="A41" s="279"/>
      <c r="B41" s="279"/>
      <c r="C41" s="279"/>
      <c r="D41" s="279"/>
      <c r="E41" s="279"/>
      <c r="F41" s="279"/>
      <c r="G41" s="279"/>
    </row>
    <row r="42" spans="1:7" ht="39.9" customHeight="1">
      <c r="A42" s="279"/>
      <c r="B42" s="279"/>
      <c r="C42" s="279"/>
      <c r="D42" s="279"/>
      <c r="E42" s="279"/>
      <c r="F42" s="279"/>
      <c r="G42" s="279"/>
    </row>
    <row r="43" spans="1:7" ht="39.9" customHeight="1">
      <c r="A43" s="279"/>
      <c r="B43" s="279"/>
      <c r="C43" s="279"/>
      <c r="D43" s="279"/>
      <c r="E43" s="279"/>
      <c r="F43" s="279"/>
      <c r="G43" s="279"/>
    </row>
    <row r="44" spans="1:7" ht="39.9" customHeight="1">
      <c r="A44" s="279"/>
      <c r="B44" s="279"/>
      <c r="C44" s="279"/>
      <c r="D44" s="279"/>
      <c r="E44" s="279"/>
      <c r="F44" s="279"/>
      <c r="G44" s="279"/>
    </row>
    <row r="45" spans="1:7" ht="39.9" customHeight="1">
      <c r="A45" s="279"/>
      <c r="B45" s="279"/>
      <c r="C45" s="279"/>
      <c r="D45" s="279"/>
      <c r="E45" s="279"/>
      <c r="F45" s="279"/>
      <c r="G45" s="279"/>
    </row>
    <row r="46" spans="1:7" ht="39.9" customHeight="1">
      <c r="A46" s="279"/>
      <c r="B46" s="279"/>
      <c r="C46" s="279"/>
      <c r="D46" s="279"/>
      <c r="E46" s="279"/>
      <c r="F46" s="279"/>
      <c r="G46" s="279"/>
    </row>
    <row r="47" spans="1:7" ht="39.9" customHeight="1">
      <c r="A47" s="279"/>
      <c r="B47" s="279"/>
      <c r="C47" s="279"/>
      <c r="D47" s="279"/>
      <c r="E47" s="279"/>
      <c r="F47" s="279"/>
      <c r="G47" s="279"/>
    </row>
    <row r="48" spans="1:7" ht="39.9" customHeight="1">
      <c r="A48" s="289"/>
      <c r="B48" s="28"/>
      <c r="C48" s="28"/>
      <c r="D48" s="28"/>
      <c r="E48" s="28"/>
      <c r="F48" s="28"/>
      <c r="G48" s="28"/>
    </row>
    <row r="49" spans="1:7">
      <c r="A49" s="256" t="s">
        <v>1148</v>
      </c>
      <c r="B49" s="28"/>
      <c r="C49" s="28"/>
      <c r="D49" s="28"/>
      <c r="E49" s="28"/>
      <c r="F49" s="28"/>
      <c r="G49" s="28"/>
    </row>
    <row r="50" spans="1:7">
      <c r="A50" s="117"/>
      <c r="B50" s="531" t="s">
        <v>784</v>
      </c>
      <c r="C50" s="531"/>
      <c r="D50" s="531"/>
      <c r="E50" s="531"/>
      <c r="F50" s="531"/>
      <c r="G50" s="29"/>
    </row>
    <row r="51" spans="1:7">
      <c r="A51" s="29"/>
      <c r="B51" s="489">
        <v>2005</v>
      </c>
      <c r="C51" s="489">
        <v>2006</v>
      </c>
      <c r="D51" s="489">
        <v>2007</v>
      </c>
      <c r="E51" s="489">
        <v>2008</v>
      </c>
      <c r="F51" s="489">
        <v>2009</v>
      </c>
      <c r="G51" s="489">
        <v>2010</v>
      </c>
    </row>
    <row r="52" spans="1:7">
      <c r="A52" s="52" t="s">
        <v>1149</v>
      </c>
      <c r="B52" s="167"/>
      <c r="C52" s="167"/>
      <c r="D52" s="167"/>
      <c r="E52" s="167"/>
      <c r="F52" s="167"/>
      <c r="G52" s="167"/>
    </row>
    <row r="53" spans="1:7">
      <c r="A53" s="52" t="s">
        <v>775</v>
      </c>
      <c r="B53" s="167"/>
      <c r="C53" s="167"/>
      <c r="D53" s="167"/>
      <c r="E53" s="167"/>
      <c r="F53" s="167"/>
      <c r="G53" s="167"/>
    </row>
    <row r="54" spans="1:7">
      <c r="A54" s="42" t="s">
        <v>776</v>
      </c>
      <c r="B54" s="167">
        <v>1466.9</v>
      </c>
      <c r="C54" s="167">
        <v>1588.9</v>
      </c>
      <c r="D54" s="167">
        <v>135.30000000000001</v>
      </c>
      <c r="E54" s="167">
        <v>1300.0999999999999</v>
      </c>
      <c r="F54" s="167">
        <v>588.1</v>
      </c>
      <c r="G54" s="167">
        <f>ROUNDDOWN(1639.45,1)</f>
        <v>1639.4</v>
      </c>
    </row>
    <row r="55" spans="1:7">
      <c r="A55" s="42" t="s">
        <v>777</v>
      </c>
      <c r="B55" s="167">
        <v>84</v>
      </c>
      <c r="C55" s="167">
        <v>101</v>
      </c>
      <c r="D55" s="167">
        <v>87</v>
      </c>
      <c r="E55" s="167">
        <v>89</v>
      </c>
      <c r="F55" s="167">
        <v>70</v>
      </c>
      <c r="G55" s="167">
        <v>46.1</v>
      </c>
    </row>
    <row r="56" spans="1:7">
      <c r="A56" s="52" t="s">
        <v>778</v>
      </c>
      <c r="B56" s="167"/>
      <c r="C56" s="167"/>
      <c r="D56" s="167"/>
      <c r="E56" s="167"/>
      <c r="F56" s="167"/>
      <c r="G56" s="167"/>
    </row>
    <row r="57" spans="1:7">
      <c r="A57" s="42" t="s">
        <v>779</v>
      </c>
      <c r="B57" s="167">
        <v>374.9</v>
      </c>
      <c r="C57" s="167">
        <v>1142.7</v>
      </c>
      <c r="D57" s="167">
        <v>1111</v>
      </c>
      <c r="E57" s="167">
        <v>1384.8</v>
      </c>
      <c r="F57" s="167">
        <v>583.6</v>
      </c>
      <c r="G57" s="167">
        <f>ROUND(705.293,1)</f>
        <v>705.3</v>
      </c>
    </row>
    <row r="58" spans="1:7">
      <c r="A58" s="42" t="s">
        <v>780</v>
      </c>
      <c r="B58" s="167">
        <v>440.4</v>
      </c>
      <c r="C58" s="167">
        <v>449</v>
      </c>
      <c r="D58" s="167">
        <v>944.8</v>
      </c>
      <c r="E58" s="167">
        <v>858.6</v>
      </c>
      <c r="F58" s="167">
        <v>474.1</v>
      </c>
      <c r="G58" s="167">
        <f>ROUNDDOWN(580.758,1)</f>
        <v>580.70000000000005</v>
      </c>
    </row>
    <row r="59" spans="1:7">
      <c r="A59" s="42" t="s">
        <v>781</v>
      </c>
      <c r="B59" s="167">
        <v>76.8</v>
      </c>
      <c r="C59" s="167">
        <v>294.39999999999998</v>
      </c>
      <c r="D59" s="167">
        <v>414.5</v>
      </c>
      <c r="E59" s="167">
        <v>528.9</v>
      </c>
      <c r="F59" s="167">
        <v>225.8</v>
      </c>
      <c r="G59" s="167">
        <f>ROUND(233.672,1)</f>
        <v>233.7</v>
      </c>
    </row>
    <row r="60" spans="1:7">
      <c r="A60" s="42" t="s">
        <v>782</v>
      </c>
      <c r="B60" s="167">
        <v>0</v>
      </c>
      <c r="C60" s="167">
        <v>0</v>
      </c>
      <c r="D60" s="167" t="s">
        <v>1100</v>
      </c>
      <c r="E60" s="167">
        <v>273.89999999999998</v>
      </c>
      <c r="F60" s="167">
        <v>250</v>
      </c>
      <c r="G60" s="167">
        <f>ROUND(298.162,1)</f>
        <v>298.2</v>
      </c>
    </row>
    <row r="61" spans="1:7">
      <c r="A61" s="42" t="s">
        <v>783</v>
      </c>
      <c r="B61" s="167">
        <v>0</v>
      </c>
      <c r="C61" s="167">
        <v>0</v>
      </c>
      <c r="D61" s="167">
        <v>0</v>
      </c>
      <c r="E61" s="167">
        <v>0</v>
      </c>
      <c r="F61" s="167">
        <v>328</v>
      </c>
      <c r="G61" s="167">
        <f>ROUND(853.78,1)</f>
        <v>853.8</v>
      </c>
    </row>
    <row r="62" spans="1:7">
      <c r="A62" s="144" t="s">
        <v>767</v>
      </c>
      <c r="B62" s="285">
        <v>2443</v>
      </c>
      <c r="C62" s="285">
        <v>3576</v>
      </c>
      <c r="D62" s="285">
        <v>2692.6</v>
      </c>
      <c r="E62" s="285">
        <v>4435.3</v>
      </c>
      <c r="F62" s="285">
        <v>2519.6</v>
      </c>
      <c r="G62" s="285">
        <f>SUM(G54:G61)</f>
        <v>4357.2</v>
      </c>
    </row>
    <row r="63" spans="1:7" ht="13.2" customHeight="1">
      <c r="A63" s="76"/>
      <c r="B63" s="531" t="s">
        <v>785</v>
      </c>
      <c r="C63" s="531"/>
      <c r="D63" s="531"/>
      <c r="E63" s="531"/>
      <c r="F63" s="531"/>
      <c r="G63" s="531"/>
    </row>
    <row r="64" spans="1:7">
      <c r="A64" s="76"/>
      <c r="B64" s="489" t="s">
        <v>201</v>
      </c>
      <c r="C64" s="489" t="s">
        <v>202</v>
      </c>
      <c r="D64" s="489" t="s">
        <v>203</v>
      </c>
      <c r="E64" s="489" t="s">
        <v>204</v>
      </c>
      <c r="F64" s="489" t="s">
        <v>205</v>
      </c>
      <c r="G64" s="489" t="s">
        <v>194</v>
      </c>
    </row>
    <row r="65" spans="1:7">
      <c r="A65" s="52" t="s">
        <v>786</v>
      </c>
      <c r="B65" s="119"/>
      <c r="C65" s="119"/>
      <c r="D65" s="119"/>
      <c r="E65" s="119"/>
      <c r="F65" s="119"/>
      <c r="G65" s="119"/>
    </row>
    <row r="66" spans="1:7">
      <c r="A66" s="52" t="s">
        <v>775</v>
      </c>
      <c r="B66" s="119"/>
      <c r="C66" s="119"/>
      <c r="D66" s="119"/>
      <c r="E66" s="119"/>
      <c r="F66" s="119"/>
      <c r="G66" s="119"/>
    </row>
    <row r="67" spans="1:7">
      <c r="A67" s="42" t="s">
        <v>776</v>
      </c>
      <c r="B67" s="167">
        <v>911.1</v>
      </c>
      <c r="C67" s="167">
        <v>213.1</v>
      </c>
      <c r="D67" s="167">
        <v>288.3</v>
      </c>
      <c r="E67" s="167">
        <v>682.8</v>
      </c>
      <c r="F67" s="167">
        <f>ROUND(1009.162,1)</f>
        <v>1009.2</v>
      </c>
      <c r="G67" s="167">
        <v>1658.5</v>
      </c>
    </row>
    <row r="68" spans="1:7">
      <c r="A68" s="42" t="s">
        <v>777</v>
      </c>
      <c r="B68" s="167">
        <v>73</v>
      </c>
      <c r="C68" s="167">
        <v>78</v>
      </c>
      <c r="D68" s="167">
        <v>64</v>
      </c>
      <c r="E68" s="167">
        <v>80</v>
      </c>
      <c r="F68" s="167">
        <v>24</v>
      </c>
      <c r="G68" s="167">
        <v>21.2</v>
      </c>
    </row>
    <row r="69" spans="1:7">
      <c r="A69" s="52" t="s">
        <v>778</v>
      </c>
      <c r="B69" s="167"/>
      <c r="C69" s="167"/>
      <c r="D69" s="167"/>
      <c r="E69" s="167"/>
      <c r="F69" s="167"/>
      <c r="G69" s="167"/>
    </row>
    <row r="70" spans="1:7">
      <c r="A70" s="42" t="s">
        <v>779</v>
      </c>
      <c r="B70" s="167">
        <v>661.4</v>
      </c>
      <c r="C70" s="167">
        <v>887.4</v>
      </c>
      <c r="D70" s="167">
        <v>952.2</v>
      </c>
      <c r="E70" s="167">
        <v>790.1</v>
      </c>
      <c r="F70" s="167">
        <f>ROUND(731.396,1)</f>
        <v>731.4</v>
      </c>
      <c r="G70" s="167">
        <v>454.6</v>
      </c>
    </row>
    <row r="71" spans="1:7">
      <c r="A71" s="42" t="s">
        <v>780</v>
      </c>
      <c r="B71" s="167">
        <v>200</v>
      </c>
      <c r="C71" s="167">
        <v>200</v>
      </c>
      <c r="D71" s="167">
        <v>652.79999999999995</v>
      </c>
      <c r="E71" s="167">
        <v>381.9</v>
      </c>
      <c r="F71" s="167">
        <f>ROUNDDOWN(480.151,1)</f>
        <v>480.1</v>
      </c>
      <c r="G71" s="167">
        <v>543.70000000000005</v>
      </c>
    </row>
    <row r="72" spans="1:7">
      <c r="A72" s="42" t="s">
        <v>781</v>
      </c>
      <c r="B72" s="167">
        <v>0</v>
      </c>
      <c r="C72" s="167">
        <v>371.2</v>
      </c>
      <c r="D72" s="167">
        <v>422.4</v>
      </c>
      <c r="E72" s="167">
        <v>227.5</v>
      </c>
      <c r="F72" s="167">
        <f>ROUND(317.951,1)</f>
        <v>318</v>
      </c>
      <c r="G72" s="167">
        <v>435</v>
      </c>
    </row>
    <row r="73" spans="1:7">
      <c r="A73" s="42" t="s">
        <v>782</v>
      </c>
      <c r="B73" s="167">
        <v>0</v>
      </c>
      <c r="C73" s="167">
        <v>0</v>
      </c>
      <c r="D73" s="167">
        <v>0</v>
      </c>
      <c r="E73" s="167">
        <v>273.89999999999998</v>
      </c>
      <c r="F73" s="167">
        <f>ROUND(248.515,1)</f>
        <v>248.5</v>
      </c>
      <c r="G73" s="167">
        <v>299.60000000000002</v>
      </c>
    </row>
    <row r="74" spans="1:7" ht="13.8" thickBot="1">
      <c r="A74" s="161" t="s">
        <v>767</v>
      </c>
      <c r="B74" s="178">
        <v>1845.5</v>
      </c>
      <c r="C74" s="178">
        <v>1749.7</v>
      </c>
      <c r="D74" s="178">
        <v>2379.6999999999998</v>
      </c>
      <c r="E74" s="178">
        <v>2436.1999999999998</v>
      </c>
      <c r="F74" s="178">
        <f>SUM(F67:F73)</f>
        <v>2811.2</v>
      </c>
      <c r="G74" s="178">
        <f>SUM(G67:G73)</f>
        <v>3412.6</v>
      </c>
    </row>
    <row r="75" spans="1:7" ht="13.8" thickTop="1">
      <c r="A75" s="290" t="s">
        <v>1150</v>
      </c>
    </row>
    <row r="76" spans="1:7"/>
    <row r="77" spans="1:7">
      <c r="A77" s="603" t="s">
        <v>213</v>
      </c>
      <c r="B77" s="603"/>
      <c r="C77" s="603"/>
      <c r="D77" s="603"/>
      <c r="E77" s="603"/>
      <c r="F77" s="603"/>
      <c r="G77" s="398"/>
    </row>
  </sheetData>
  <sheetProtection password="CAF1" sheet="1" formatCells="0" formatColumns="0" formatRows="0" insertColumns="0" insertRows="0" insertHyperlinks="0" deleteColumns="0" deleteRows="0" sort="0" autoFilter="0" pivotTables="0"/>
  <mergeCells count="8">
    <mergeCell ref="B20:G20"/>
    <mergeCell ref="B14:G14"/>
    <mergeCell ref="A77:F77"/>
    <mergeCell ref="A2:F2"/>
    <mergeCell ref="A39:F39"/>
    <mergeCell ref="B50:F50"/>
    <mergeCell ref="B63:G63"/>
    <mergeCell ref="C28:G28"/>
  </mergeCells>
  <phoneticPr fontId="7" type="noConversion"/>
  <hyperlinks>
    <hyperlink ref="A77:F77"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38" max="6" man="1"/>
  </rowBreaks>
  <drawing r:id="rId2"/>
</worksheet>
</file>

<file path=xl/worksheets/sheet22.xml><?xml version="1.0" encoding="utf-8"?>
<worksheet xmlns="http://schemas.openxmlformats.org/spreadsheetml/2006/main" xmlns:r="http://schemas.openxmlformats.org/officeDocument/2006/relationships">
  <dimension ref="A1:R39"/>
  <sheetViews>
    <sheetView zoomScaleNormal="100" zoomScaleSheetLayoutView="100" workbookViewId="0"/>
  </sheetViews>
  <sheetFormatPr defaultColWidth="0" defaultRowHeight="13.2" zeroHeight="1" outlineLevelCol="1"/>
  <cols>
    <col min="1" max="1" width="33.5546875" style="2" customWidth="1"/>
    <col min="2" max="2" width="20.109375" style="2" hidden="1" customWidth="1" outlineLevel="1"/>
    <col min="3" max="3" width="9.33203125" style="2" bestFit="1" customWidth="1" collapsed="1"/>
    <col min="4" max="4" width="9.33203125" style="2" bestFit="1" customWidth="1"/>
    <col min="5" max="6" width="9.5546875" style="2" bestFit="1" customWidth="1"/>
    <col min="7" max="7" width="9.5546875" style="2" customWidth="1"/>
    <col min="8" max="16384" width="0" style="2" hidden="1"/>
  </cols>
  <sheetData>
    <row r="1" spans="1:7" ht="15.6">
      <c r="A1" s="48" t="s">
        <v>787</v>
      </c>
      <c r="B1" s="28"/>
      <c r="C1" s="28"/>
      <c r="D1" s="28"/>
      <c r="E1" s="28"/>
      <c r="F1" s="28"/>
      <c r="G1" s="28"/>
    </row>
    <row r="2" spans="1:7" ht="18" customHeight="1">
      <c r="A2" s="620" t="s">
        <v>788</v>
      </c>
      <c r="B2" s="620"/>
      <c r="C2" s="620"/>
      <c r="D2" s="620"/>
      <c r="E2" s="620"/>
      <c r="F2" s="620"/>
      <c r="G2" s="620"/>
    </row>
    <row r="3" spans="1:7" ht="13.2" customHeight="1">
      <c r="A3" s="117"/>
      <c r="B3" s="531" t="s">
        <v>700</v>
      </c>
      <c r="C3" s="531"/>
      <c r="D3" s="531"/>
      <c r="E3" s="531"/>
      <c r="F3" s="531"/>
      <c r="G3" s="531"/>
    </row>
    <row r="4" spans="1:7">
      <c r="A4" s="117"/>
      <c r="B4" s="489">
        <v>2005</v>
      </c>
      <c r="C4" s="489">
        <v>2006</v>
      </c>
      <c r="D4" s="489">
        <v>2007</v>
      </c>
      <c r="E4" s="489">
        <v>2008</v>
      </c>
      <c r="F4" s="489">
        <v>2009</v>
      </c>
      <c r="G4" s="489">
        <v>2010</v>
      </c>
    </row>
    <row r="5" spans="1:7">
      <c r="A5" s="621" t="s">
        <v>789</v>
      </c>
      <c r="B5" s="621"/>
      <c r="C5" s="621"/>
      <c r="D5" s="621"/>
      <c r="E5" s="621"/>
      <c r="F5" s="621"/>
      <c r="G5" s="621"/>
    </row>
    <row r="6" spans="1:7" ht="21">
      <c r="A6" s="42" t="s">
        <v>324</v>
      </c>
      <c r="B6" s="490">
        <v>33.9</v>
      </c>
      <c r="C6" s="490">
        <v>33.5</v>
      </c>
      <c r="D6" s="490">
        <v>33.299999999999997</v>
      </c>
      <c r="E6" s="490">
        <v>33.299999999999997</v>
      </c>
      <c r="F6" s="490">
        <v>30.4</v>
      </c>
      <c r="G6" s="491">
        <v>33.6</v>
      </c>
    </row>
    <row r="7" spans="1:7">
      <c r="A7" s="42" t="s">
        <v>791</v>
      </c>
      <c r="B7" s="490">
        <v>12.4</v>
      </c>
      <c r="C7" s="490">
        <v>13.8</v>
      </c>
      <c r="D7" s="490">
        <v>10.7</v>
      </c>
      <c r="E7" s="490">
        <v>5.0999999999999996</v>
      </c>
      <c r="F7" s="490">
        <v>0</v>
      </c>
      <c r="G7" s="490">
        <v>0</v>
      </c>
    </row>
    <row r="8" spans="1:7">
      <c r="A8" s="144" t="s">
        <v>715</v>
      </c>
      <c r="B8" s="492">
        <v>46.3</v>
      </c>
      <c r="C8" s="492">
        <v>47.3</v>
      </c>
      <c r="D8" s="492">
        <v>44</v>
      </c>
      <c r="E8" s="492">
        <v>38.4</v>
      </c>
      <c r="F8" s="492">
        <v>30.4</v>
      </c>
      <c r="G8" s="492">
        <v>33.6</v>
      </c>
    </row>
    <row r="9" spans="1:7" ht="13.2" customHeight="1">
      <c r="A9" s="622" t="s">
        <v>790</v>
      </c>
      <c r="B9" s="622"/>
      <c r="C9" s="622"/>
      <c r="D9" s="622"/>
      <c r="E9" s="622"/>
      <c r="F9" s="622"/>
      <c r="G9" s="622"/>
    </row>
    <row r="10" spans="1:7" ht="21">
      <c r="A10" s="42" t="s">
        <v>324</v>
      </c>
      <c r="B10" s="490">
        <v>12</v>
      </c>
      <c r="C10" s="490">
        <v>12</v>
      </c>
      <c r="D10" s="490">
        <v>12</v>
      </c>
      <c r="E10" s="490">
        <v>11.7</v>
      </c>
      <c r="F10" s="490">
        <v>10.9</v>
      </c>
      <c r="G10" s="491">
        <v>12.3</v>
      </c>
    </row>
    <row r="11" spans="1:7">
      <c r="A11" s="42" t="s">
        <v>792</v>
      </c>
      <c r="B11" s="490">
        <v>4.0999999999999996</v>
      </c>
      <c r="C11" s="490">
        <v>24.4</v>
      </c>
      <c r="D11" s="490">
        <v>26.2</v>
      </c>
      <c r="E11" s="490">
        <v>28.4</v>
      </c>
      <c r="F11" s="490">
        <v>33.4</v>
      </c>
      <c r="G11" s="445">
        <v>37.9</v>
      </c>
    </row>
    <row r="12" spans="1:7">
      <c r="A12" s="257" t="s">
        <v>793</v>
      </c>
      <c r="B12" s="490">
        <v>4.0999999999999996</v>
      </c>
      <c r="C12" s="490">
        <v>24.4</v>
      </c>
      <c r="D12" s="490">
        <v>26.2</v>
      </c>
      <c r="E12" s="490">
        <v>28.4</v>
      </c>
      <c r="F12" s="490">
        <v>31</v>
      </c>
      <c r="G12" s="493">
        <v>35</v>
      </c>
    </row>
    <row r="13" spans="1:7">
      <c r="A13" s="257" t="s">
        <v>794</v>
      </c>
      <c r="B13" s="490">
        <v>0</v>
      </c>
      <c r="C13" s="490">
        <v>0</v>
      </c>
      <c r="D13" s="490">
        <v>0</v>
      </c>
      <c r="E13" s="490">
        <v>0</v>
      </c>
      <c r="F13" s="490">
        <v>2.4</v>
      </c>
      <c r="G13" s="445">
        <v>2.9</v>
      </c>
    </row>
    <row r="14" spans="1:7" ht="13.8" thickBot="1">
      <c r="A14" s="275" t="s">
        <v>282</v>
      </c>
      <c r="B14" s="494">
        <v>16.100000000000001</v>
      </c>
      <c r="C14" s="494">
        <v>36.4</v>
      </c>
      <c r="D14" s="494">
        <v>38.200000000000003</v>
      </c>
      <c r="E14" s="494">
        <v>40.1</v>
      </c>
      <c r="F14" s="494">
        <v>44.3</v>
      </c>
      <c r="G14" s="495">
        <v>50.2</v>
      </c>
    </row>
    <row r="15" spans="1:7" ht="13.8" thickTop="1">
      <c r="A15" s="619" t="s">
        <v>1115</v>
      </c>
      <c r="B15" s="619"/>
      <c r="C15" s="619"/>
      <c r="D15" s="619"/>
      <c r="E15" s="619"/>
      <c r="F15" s="619"/>
      <c r="G15" s="74"/>
    </row>
    <row r="16" spans="1:7">
      <c r="A16" s="143" t="s">
        <v>795</v>
      </c>
      <c r="B16" s="28"/>
      <c r="C16" s="28"/>
      <c r="D16" s="28"/>
      <c r="E16" s="28"/>
      <c r="F16" s="28"/>
      <c r="G16" s="28"/>
    </row>
    <row r="17" spans="1:18">
      <c r="A17" s="534" t="s">
        <v>796</v>
      </c>
      <c r="B17" s="534"/>
      <c r="C17" s="534"/>
      <c r="D17" s="534"/>
      <c r="E17" s="534"/>
      <c r="F17" s="534"/>
      <c r="G17" s="97"/>
    </row>
    <row r="18" spans="1:18" ht="39.6" customHeight="1">
      <c r="A18" s="566" t="s">
        <v>1151</v>
      </c>
      <c r="B18" s="566"/>
      <c r="C18" s="566"/>
      <c r="D18" s="566"/>
      <c r="E18" s="566"/>
      <c r="F18" s="566"/>
      <c r="G18" s="566"/>
    </row>
    <row r="19" spans="1:18" ht="13.2" customHeight="1">
      <c r="A19" s="117"/>
      <c r="B19" s="531" t="s">
        <v>700</v>
      </c>
      <c r="C19" s="531"/>
      <c r="D19" s="531"/>
      <c r="E19" s="531"/>
      <c r="F19" s="531"/>
      <c r="G19" s="531"/>
    </row>
    <row r="20" spans="1:18">
      <c r="A20" s="117"/>
      <c r="B20" s="489">
        <v>2005</v>
      </c>
      <c r="C20" s="489">
        <v>2006</v>
      </c>
      <c r="D20" s="489">
        <v>2007</v>
      </c>
      <c r="E20" s="489">
        <v>2008</v>
      </c>
      <c r="F20" s="489">
        <v>2009</v>
      </c>
      <c r="G20" s="489">
        <v>2010</v>
      </c>
    </row>
    <row r="21" spans="1:18">
      <c r="A21" s="42" t="s">
        <v>797</v>
      </c>
      <c r="B21" s="274">
        <v>3728.7</v>
      </c>
      <c r="C21" s="274">
        <v>3792.8</v>
      </c>
      <c r="D21" s="274">
        <v>3653.2</v>
      </c>
      <c r="E21" s="274">
        <v>3413.8</v>
      </c>
      <c r="F21" s="274">
        <f>'Refining - subsidiaries'!F6</f>
        <v>3408.2</v>
      </c>
      <c r="G21" s="274">
        <f>'Refining - subsidiaries'!G6</f>
        <v>3828.3</v>
      </c>
    </row>
    <row r="22" spans="1:18">
      <c r="A22" s="42" t="s">
        <v>798</v>
      </c>
      <c r="B22" s="274">
        <v>37.5</v>
      </c>
      <c r="C22" s="274">
        <v>38.1</v>
      </c>
      <c r="D22" s="274">
        <v>35.799999999999997</v>
      </c>
      <c r="E22" s="274">
        <v>30.9</v>
      </c>
      <c r="F22" s="274">
        <f>'Refining - subsidiaries'!F7</f>
        <v>24.2</v>
      </c>
      <c r="G22" s="274">
        <f>'Refining - subsidiaries'!G7</f>
        <v>26.2</v>
      </c>
    </row>
    <row r="23" spans="1:18" ht="13.95" customHeight="1">
      <c r="A23" s="42" t="s">
        <v>799</v>
      </c>
      <c r="B23" s="274">
        <v>4880.7</v>
      </c>
      <c r="C23" s="274">
        <v>5325.1</v>
      </c>
      <c r="D23" s="274">
        <v>5537.6</v>
      </c>
      <c r="E23" s="274">
        <v>4104.1000000000004</v>
      </c>
      <c r="F23" s="274">
        <f>'Refining - subsidiaries'!F8+'Refining - subsidiaries'!F22</f>
        <v>2806.6</v>
      </c>
      <c r="G23" s="274">
        <f>'Refining - subsidiaries'!G8+'Refining - subsidiaries'!G22</f>
        <v>3119.3</v>
      </c>
    </row>
    <row r="24" spans="1:18" ht="13.2" customHeight="1">
      <c r="A24" s="42" t="s">
        <v>800</v>
      </c>
      <c r="B24" s="274">
        <v>3125.7</v>
      </c>
      <c r="C24" s="274">
        <v>7218.8</v>
      </c>
      <c r="D24" s="274">
        <v>7518.7</v>
      </c>
      <c r="E24" s="274">
        <v>7606.2</v>
      </c>
      <c r="F24" s="274">
        <f>'Refining - subsidiaries'!F9+'Refining - subsidiaries'!F23</f>
        <v>8648.7999999999993</v>
      </c>
      <c r="G24" s="274">
        <f>'Refining - subsidiaries'!G9+'Refining - subsidiaries'!G23</f>
        <v>9368.7999999999993</v>
      </c>
    </row>
    <row r="25" spans="1:18" ht="14.4" customHeight="1">
      <c r="A25" s="42" t="s">
        <v>801</v>
      </c>
      <c r="B25" s="381">
        <v>236</v>
      </c>
      <c r="C25" s="274">
        <v>1755</v>
      </c>
      <c r="D25" s="274">
        <v>1735</v>
      </c>
      <c r="E25" s="274">
        <v>1914.2</v>
      </c>
      <c r="F25" s="274">
        <f>'Refining - subsidiaries'!F24</f>
        <v>2129.9</v>
      </c>
      <c r="G25" s="274">
        <f>'Refining - subsidiaries'!G24</f>
        <v>1620</v>
      </c>
      <c r="H25" s="376"/>
      <c r="I25" s="376"/>
      <c r="J25" s="376"/>
      <c r="K25" s="376"/>
      <c r="L25" s="376"/>
      <c r="M25" s="376"/>
      <c r="N25" s="376"/>
      <c r="O25" s="376"/>
      <c r="P25" s="376"/>
      <c r="Q25" s="376"/>
      <c r="R25" s="376"/>
    </row>
    <row r="26" spans="1:18">
      <c r="A26" s="42" t="s">
        <v>802</v>
      </c>
      <c r="B26" s="274">
        <v>2954.8</v>
      </c>
      <c r="C26" s="274">
        <v>9056.9</v>
      </c>
      <c r="D26" s="274">
        <v>9510.7000000000007</v>
      </c>
      <c r="E26" s="274">
        <v>10406.6</v>
      </c>
      <c r="F26" s="274">
        <f>'Refining - subsidiaries'!F10+'Refining - subsidiaries'!F25</f>
        <v>11214.2</v>
      </c>
      <c r="G26" s="274">
        <f>'Refining - subsidiaries'!G10+'Refining - subsidiaries'!G25</f>
        <v>12830.900000000001</v>
      </c>
    </row>
    <row r="27" spans="1:18">
      <c r="A27" s="42" t="s">
        <v>803</v>
      </c>
      <c r="B27" s="274">
        <v>327.9</v>
      </c>
      <c r="C27" s="274">
        <v>1790.2</v>
      </c>
      <c r="D27" s="274">
        <v>1944.2</v>
      </c>
      <c r="E27" s="274">
        <v>1967.3</v>
      </c>
      <c r="F27" s="274">
        <f>'Refining - subsidiaries'!F11+'Refining - subsidiaries'!F26</f>
        <v>2276</v>
      </c>
      <c r="G27" s="274">
        <f>'Refining - subsidiaries'!G11+'Refining - subsidiaries'!G26</f>
        <v>2598.1</v>
      </c>
    </row>
    <row r="28" spans="1:18" ht="12.75" customHeight="1">
      <c r="A28" s="42" t="s">
        <v>804</v>
      </c>
      <c r="B28" s="274">
        <v>1077.8</v>
      </c>
      <c r="C28" s="274">
        <v>4886.5</v>
      </c>
      <c r="D28" s="274">
        <v>5653.9</v>
      </c>
      <c r="E28" s="274">
        <v>6138.5</v>
      </c>
      <c r="F28" s="274">
        <f>'Refining - subsidiaries'!F12+'Refining - subsidiaries'!F27</f>
        <v>6355.5999999999995</v>
      </c>
      <c r="G28" s="274">
        <f>'Refining - subsidiaries'!G12+'Refining - subsidiaries'!G27</f>
        <v>8176.4</v>
      </c>
    </row>
    <row r="29" spans="1:18">
      <c r="A29" s="42" t="s">
        <v>805</v>
      </c>
      <c r="B29" s="274">
        <v>53</v>
      </c>
      <c r="C29" s="274">
        <v>327</v>
      </c>
      <c r="D29" s="274">
        <v>346.4</v>
      </c>
      <c r="E29" s="274">
        <v>328.3</v>
      </c>
      <c r="F29" s="274">
        <f>'Refining - subsidiaries'!F28</f>
        <v>371.4</v>
      </c>
      <c r="G29" s="274">
        <f>'Refining - subsidiaries'!G28</f>
        <v>367.1</v>
      </c>
    </row>
    <row r="30" spans="1:18">
      <c r="A30" s="42" t="s">
        <v>806</v>
      </c>
      <c r="B30" s="274">
        <v>5370.3</v>
      </c>
      <c r="C30" s="274">
        <v>5353.5</v>
      </c>
      <c r="D30" s="274">
        <v>5432.3</v>
      </c>
      <c r="E30" s="274">
        <v>5385.9</v>
      </c>
      <c r="F30" s="274">
        <f>'Refining - subsidiaries'!F13+'Refining - subsidiaries'!F29</f>
        <v>4404.6000000000004</v>
      </c>
      <c r="G30" s="274">
        <f>'Refining - subsidiaries'!G13+'Refining - subsidiaries'!G29</f>
        <v>5250.4</v>
      </c>
    </row>
    <row r="31" spans="1:18" ht="14.4" customHeight="1">
      <c r="A31" s="42" t="s">
        <v>807</v>
      </c>
      <c r="B31" s="274">
        <v>1636.4</v>
      </c>
      <c r="C31" s="274">
        <v>3838.1</v>
      </c>
      <c r="D31" s="274">
        <v>4874</v>
      </c>
      <c r="E31" s="274">
        <v>5037.8999999999996</v>
      </c>
      <c r="F31" s="274">
        <f>'Refining - subsidiaries'!F14</f>
        <v>4892.6000000000004</v>
      </c>
      <c r="G31" s="274">
        <f>'Refining - subsidiaries'!G14</f>
        <v>4856.1000000000004</v>
      </c>
    </row>
    <row r="32" spans="1:18" ht="13.5" customHeight="1">
      <c r="A32" s="42" t="s">
        <v>808</v>
      </c>
      <c r="B32" s="274">
        <v>3.1</v>
      </c>
      <c r="C32" s="274">
        <v>3</v>
      </c>
      <c r="D32" s="274">
        <v>2.8</v>
      </c>
      <c r="E32" s="274">
        <v>3</v>
      </c>
      <c r="F32" s="274">
        <f>'Refining - subsidiaries'!F15</f>
        <v>3</v>
      </c>
      <c r="G32" s="274">
        <f>'Refining - subsidiaries'!G15</f>
        <v>3.3</v>
      </c>
    </row>
    <row r="33" spans="1:7" ht="24" customHeight="1">
      <c r="A33" s="42" t="s">
        <v>809</v>
      </c>
      <c r="B33" s="274">
        <v>3006.6</v>
      </c>
      <c r="C33" s="274">
        <v>3896.7</v>
      </c>
      <c r="D33" s="274">
        <v>2648.9</v>
      </c>
      <c r="E33" s="274">
        <v>1488.5</v>
      </c>
      <c r="F33" s="274">
        <f>'Refining - subsidiaries'!F16</f>
        <v>454</v>
      </c>
      <c r="G33" s="274">
        <f>'Refining - subsidiaries'!G16</f>
        <v>491.7</v>
      </c>
    </row>
    <row r="34" spans="1:7">
      <c r="A34" s="42" t="s">
        <v>810</v>
      </c>
      <c r="B34" s="274">
        <v>108.1</v>
      </c>
      <c r="C34" s="274">
        <v>223.2</v>
      </c>
      <c r="D34" s="274">
        <v>238.4</v>
      </c>
      <c r="E34" s="274">
        <v>327.2</v>
      </c>
      <c r="F34" s="274">
        <f>'Refining - subsidiaries'!F17</f>
        <v>362.1</v>
      </c>
      <c r="G34" s="274">
        <f>'Refining - subsidiaries'!G17</f>
        <v>384.1</v>
      </c>
    </row>
    <row r="35" spans="1:7" ht="15" customHeight="1">
      <c r="A35" s="42" t="s">
        <v>811</v>
      </c>
      <c r="B35" s="274">
        <v>33.6</v>
      </c>
      <c r="C35" s="274">
        <v>34.5</v>
      </c>
      <c r="D35" s="274">
        <v>35.4</v>
      </c>
      <c r="E35" s="274">
        <v>30.4</v>
      </c>
      <c r="F35" s="274">
        <f>'Refining - subsidiaries'!F18</f>
        <v>21.1</v>
      </c>
      <c r="G35" s="274">
        <f>'Refining - subsidiaries'!G18</f>
        <v>31.6</v>
      </c>
    </row>
    <row r="36" spans="1:7">
      <c r="A36" s="42" t="s">
        <v>812</v>
      </c>
      <c r="B36" s="274">
        <v>614</v>
      </c>
      <c r="C36" s="274">
        <v>657.1</v>
      </c>
      <c r="D36" s="274">
        <v>0</v>
      </c>
      <c r="E36" s="274">
        <v>0</v>
      </c>
      <c r="F36" s="274">
        <f>'Refining - subsidiaries'!F19</f>
        <v>419</v>
      </c>
      <c r="G36" s="274">
        <f>'Refining - subsidiaries'!G19</f>
        <v>663.2</v>
      </c>
    </row>
    <row r="37" spans="1:7" ht="16.95" customHeight="1" thickBot="1">
      <c r="A37" s="277" t="s">
        <v>813</v>
      </c>
      <c r="B37" s="278">
        <v>75.099999999999994</v>
      </c>
      <c r="C37" s="278">
        <v>92.6</v>
      </c>
      <c r="D37" s="278">
        <v>102.6</v>
      </c>
      <c r="E37" s="278">
        <v>111</v>
      </c>
      <c r="F37" s="278">
        <f>'Refining - subsidiaries'!F20</f>
        <v>35.200000000000003</v>
      </c>
      <c r="G37" s="278">
        <f>'Refining - subsidiaries'!G20</f>
        <v>151.5</v>
      </c>
    </row>
    <row r="38" spans="1:7" ht="13.8" thickTop="1">
      <c r="A38" s="28"/>
      <c r="B38" s="28"/>
      <c r="C38" s="28"/>
      <c r="D38" s="28"/>
      <c r="E38" s="28"/>
      <c r="F38" s="28"/>
      <c r="G38" s="28"/>
    </row>
    <row r="39" spans="1:7">
      <c r="A39" s="530" t="s">
        <v>213</v>
      </c>
      <c r="B39" s="530"/>
      <c r="C39" s="530"/>
      <c r="D39" s="530"/>
      <c r="E39" s="530"/>
      <c r="F39" s="530"/>
      <c r="G39" s="20"/>
    </row>
  </sheetData>
  <sheetProtection password="CAF1" sheet="1" formatCells="0" formatColumns="0" formatRows="0" insertColumns="0" insertRows="0" insertHyperlinks="0" deleteColumns="0" deleteRows="0" sort="0" autoFilter="0" pivotTables="0"/>
  <mergeCells count="9">
    <mergeCell ref="A39:F39"/>
    <mergeCell ref="A15:F15"/>
    <mergeCell ref="A17:F17"/>
    <mergeCell ref="A18:G18"/>
    <mergeCell ref="A2:G2"/>
    <mergeCell ref="B19:G19"/>
    <mergeCell ref="B3:G3"/>
    <mergeCell ref="A5:G5"/>
    <mergeCell ref="A9:G9"/>
  </mergeCells>
  <phoneticPr fontId="24" type="noConversion"/>
  <hyperlinks>
    <hyperlink ref="A39:F39"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23.xml><?xml version="1.0" encoding="utf-8"?>
<worksheet xmlns="http://schemas.openxmlformats.org/spreadsheetml/2006/main" xmlns:r="http://schemas.openxmlformats.org/officeDocument/2006/relationships">
  <dimension ref="A1:R53"/>
  <sheetViews>
    <sheetView zoomScaleNormal="100" zoomScaleSheetLayoutView="100" workbookViewId="0"/>
  </sheetViews>
  <sheetFormatPr defaultColWidth="0" defaultRowHeight="13.2" zeroHeight="1" outlineLevelCol="1"/>
  <cols>
    <col min="1" max="1" width="53.6640625" style="2" customWidth="1"/>
    <col min="2" max="2" width="9.33203125" style="2" hidden="1" customWidth="1" outlineLevel="1"/>
    <col min="3" max="3" width="9.33203125" style="2" bestFit="1" customWidth="1" collapsed="1"/>
    <col min="4" max="4" width="9.33203125" style="2" bestFit="1" customWidth="1"/>
    <col min="5" max="6" width="9.5546875" style="2" bestFit="1" customWidth="1"/>
    <col min="7" max="7" width="9.5546875" style="2" customWidth="1"/>
    <col min="8" max="16384" width="0" style="2" hidden="1"/>
  </cols>
  <sheetData>
    <row r="1" spans="1:7" ht="15.6">
      <c r="A1" s="48" t="s">
        <v>814</v>
      </c>
      <c r="B1" s="297"/>
      <c r="C1" s="297"/>
      <c r="D1" s="297"/>
      <c r="E1" s="297"/>
      <c r="F1" s="297"/>
      <c r="G1" s="297"/>
    </row>
    <row r="2" spans="1:7" ht="30" customHeight="1">
      <c r="A2" s="552" t="s">
        <v>815</v>
      </c>
      <c r="B2" s="552"/>
      <c r="C2" s="552"/>
      <c r="D2" s="552"/>
      <c r="E2" s="552"/>
      <c r="F2" s="552"/>
      <c r="G2" s="552"/>
    </row>
    <row r="3" spans="1:7" ht="13.2" customHeight="1">
      <c r="A3" s="117"/>
      <c r="B3" s="531" t="s">
        <v>700</v>
      </c>
      <c r="C3" s="531"/>
      <c r="D3" s="531"/>
      <c r="E3" s="531"/>
      <c r="F3" s="531"/>
      <c r="G3" s="531"/>
    </row>
    <row r="4" spans="1:7">
      <c r="A4" s="117"/>
      <c r="B4" s="29">
        <v>2005</v>
      </c>
      <c r="C4" s="489">
        <v>2006</v>
      </c>
      <c r="D4" s="489">
        <v>2007</v>
      </c>
      <c r="E4" s="489">
        <v>2008</v>
      </c>
      <c r="F4" s="489">
        <v>2009</v>
      </c>
      <c r="G4" s="489">
        <v>2010</v>
      </c>
    </row>
    <row r="5" spans="1:7" ht="25.95" customHeight="1">
      <c r="A5" s="175" t="s">
        <v>324</v>
      </c>
      <c r="B5" s="590"/>
      <c r="C5" s="590"/>
      <c r="D5" s="590"/>
      <c r="E5" s="590"/>
      <c r="F5" s="590"/>
      <c r="G5" s="175"/>
    </row>
    <row r="6" spans="1:7" ht="13.2" customHeight="1">
      <c r="A6" s="198" t="s">
        <v>797</v>
      </c>
      <c r="B6" s="146">
        <v>3728.7</v>
      </c>
      <c r="C6" s="107">
        <v>3792.8</v>
      </c>
      <c r="D6" s="107">
        <v>3653.2</v>
      </c>
      <c r="E6" s="496">
        <v>3413.8</v>
      </c>
      <c r="F6" s="107">
        <v>3408.2</v>
      </c>
      <c r="G6" s="497">
        <v>3828.3</v>
      </c>
    </row>
    <row r="7" spans="1:7">
      <c r="A7" s="198" t="s">
        <v>798</v>
      </c>
      <c r="B7" s="146">
        <v>26.5</v>
      </c>
      <c r="C7" s="107">
        <v>26</v>
      </c>
      <c r="D7" s="107">
        <v>26.5</v>
      </c>
      <c r="E7" s="496">
        <v>26.5</v>
      </c>
      <c r="F7" s="107">
        <v>24.2</v>
      </c>
      <c r="G7" s="497">
        <v>26.2</v>
      </c>
    </row>
    <row r="8" spans="1:7" ht="15" customHeight="1">
      <c r="A8" s="198" t="s">
        <v>799</v>
      </c>
      <c r="B8" s="146">
        <v>1881.9</v>
      </c>
      <c r="C8" s="107">
        <v>1837.7</v>
      </c>
      <c r="D8" s="107">
        <v>2109.8000000000002</v>
      </c>
      <c r="E8" s="496">
        <v>2037.2</v>
      </c>
      <c r="F8" s="107">
        <v>2025.2</v>
      </c>
      <c r="G8" s="497">
        <v>2311.6</v>
      </c>
    </row>
    <row r="9" spans="1:7">
      <c r="A9" s="198" t="s">
        <v>800</v>
      </c>
      <c r="B9" s="146">
        <v>2242.6999999999998</v>
      </c>
      <c r="C9" s="107">
        <v>2158.8000000000002</v>
      </c>
      <c r="D9" s="107">
        <v>2141.8000000000002</v>
      </c>
      <c r="E9" s="496">
        <v>2132.3000000000002</v>
      </c>
      <c r="F9" s="107">
        <v>2018.1</v>
      </c>
      <c r="G9" s="497">
        <v>2114.3000000000002</v>
      </c>
    </row>
    <row r="10" spans="1:7">
      <c r="A10" s="198" t="s">
        <v>802</v>
      </c>
      <c r="B10" s="146">
        <v>1640.8</v>
      </c>
      <c r="C10" s="107">
        <v>1442.9</v>
      </c>
      <c r="D10" s="107">
        <v>1429.3</v>
      </c>
      <c r="E10" s="496">
        <v>1394.1</v>
      </c>
      <c r="F10" s="107">
        <v>1276.5</v>
      </c>
      <c r="G10" s="497">
        <v>1366.2</v>
      </c>
    </row>
    <row r="11" spans="1:7">
      <c r="A11" s="198" t="s">
        <v>803</v>
      </c>
      <c r="B11" s="146">
        <v>50.9</v>
      </c>
      <c r="C11" s="107">
        <v>150.19999999999999</v>
      </c>
      <c r="D11" s="107">
        <v>133.9</v>
      </c>
      <c r="E11" s="496">
        <v>161.4</v>
      </c>
      <c r="F11" s="107">
        <v>165.8</v>
      </c>
      <c r="G11" s="497">
        <v>165.7</v>
      </c>
    </row>
    <row r="12" spans="1:7">
      <c r="A12" s="198" t="s">
        <v>804</v>
      </c>
      <c r="B12" s="146">
        <v>380.8</v>
      </c>
      <c r="C12" s="107">
        <v>380.5</v>
      </c>
      <c r="D12" s="107">
        <v>394.2</v>
      </c>
      <c r="E12" s="496">
        <v>389.7</v>
      </c>
      <c r="F12" s="107">
        <v>347.9</v>
      </c>
      <c r="G12" s="497">
        <v>377.9</v>
      </c>
    </row>
    <row r="13" spans="1:7">
      <c r="A13" s="198" t="s">
        <v>806</v>
      </c>
      <c r="B13" s="146">
        <v>5361.8</v>
      </c>
      <c r="C13" s="107">
        <v>5296.3</v>
      </c>
      <c r="D13" s="107">
        <v>5370.1</v>
      </c>
      <c r="E13" s="496">
        <v>5319.8</v>
      </c>
      <c r="F13" s="107">
        <v>4322.1000000000004</v>
      </c>
      <c r="G13" s="497">
        <v>5154.8999999999996</v>
      </c>
    </row>
    <row r="14" spans="1:7">
      <c r="A14" s="198" t="s">
        <v>807</v>
      </c>
      <c r="B14" s="146">
        <v>1636.4</v>
      </c>
      <c r="C14" s="107">
        <v>3838.1</v>
      </c>
      <c r="D14" s="107">
        <v>4874</v>
      </c>
      <c r="E14" s="496">
        <v>5037.8999999999996</v>
      </c>
      <c r="F14" s="107">
        <v>4892.6000000000004</v>
      </c>
      <c r="G14" s="497">
        <v>4856.1000000000004</v>
      </c>
    </row>
    <row r="15" spans="1:7">
      <c r="A15" s="198" t="s">
        <v>808</v>
      </c>
      <c r="B15" s="146">
        <v>3.1</v>
      </c>
      <c r="C15" s="107">
        <v>3</v>
      </c>
      <c r="D15" s="107">
        <v>2.8</v>
      </c>
      <c r="E15" s="496">
        <v>3</v>
      </c>
      <c r="F15" s="107">
        <v>3</v>
      </c>
      <c r="G15" s="497">
        <v>3.3</v>
      </c>
    </row>
    <row r="16" spans="1:7">
      <c r="A16" s="198" t="s">
        <v>809</v>
      </c>
      <c r="B16" s="146">
        <v>541.6</v>
      </c>
      <c r="C16" s="107">
        <v>881.4</v>
      </c>
      <c r="D16" s="107">
        <v>587.5</v>
      </c>
      <c r="E16" s="496">
        <v>554.6</v>
      </c>
      <c r="F16" s="107">
        <v>454</v>
      </c>
      <c r="G16" s="497">
        <v>491.7</v>
      </c>
    </row>
    <row r="17" spans="1:18">
      <c r="A17" s="198" t="s">
        <v>810</v>
      </c>
      <c r="B17" s="146">
        <v>108.1</v>
      </c>
      <c r="C17" s="107">
        <v>223.2</v>
      </c>
      <c r="D17" s="107">
        <v>238.4</v>
      </c>
      <c r="E17" s="496">
        <v>327.2</v>
      </c>
      <c r="F17" s="107">
        <v>362.1</v>
      </c>
      <c r="G17" s="497">
        <v>384.1</v>
      </c>
    </row>
    <row r="18" spans="1:18" ht="12.6" customHeight="1">
      <c r="A18" s="198" t="s">
        <v>811</v>
      </c>
      <c r="B18" s="146">
        <v>33.6</v>
      </c>
      <c r="C18" s="107">
        <v>34.5</v>
      </c>
      <c r="D18" s="107">
        <v>35.4</v>
      </c>
      <c r="E18" s="496">
        <v>30.4</v>
      </c>
      <c r="F18" s="107">
        <v>21.1</v>
      </c>
      <c r="G18" s="497">
        <v>31.6</v>
      </c>
    </row>
    <row r="19" spans="1:18">
      <c r="A19" s="198" t="s">
        <v>812</v>
      </c>
      <c r="B19" s="146">
        <v>614</v>
      </c>
      <c r="C19" s="107">
        <v>657.1</v>
      </c>
      <c r="D19" s="498">
        <v>0</v>
      </c>
      <c r="E19" s="498">
        <v>0</v>
      </c>
      <c r="F19" s="107">
        <v>419</v>
      </c>
      <c r="G19" s="497">
        <v>663.2</v>
      </c>
    </row>
    <row r="20" spans="1:18" ht="12.75" customHeight="1" thickBot="1">
      <c r="A20" s="205" t="s">
        <v>813</v>
      </c>
      <c r="B20" s="298">
        <v>75.099999999999994</v>
      </c>
      <c r="C20" s="142">
        <v>92.6</v>
      </c>
      <c r="D20" s="142">
        <v>102.6</v>
      </c>
      <c r="E20" s="499">
        <v>111</v>
      </c>
      <c r="F20" s="142">
        <v>35.200000000000003</v>
      </c>
      <c r="G20" s="500">
        <v>151.5</v>
      </c>
    </row>
    <row r="21" spans="1:18" ht="13.8" thickTop="1">
      <c r="A21" s="148" t="s">
        <v>816</v>
      </c>
      <c r="B21" s="148"/>
      <c r="C21" s="148"/>
      <c r="D21" s="148"/>
      <c r="E21" s="148"/>
      <c r="F21" s="148"/>
      <c r="G21" s="260"/>
    </row>
    <row r="22" spans="1:18" ht="13.95" customHeight="1">
      <c r="A22" s="198" t="s">
        <v>799</v>
      </c>
      <c r="B22" s="146">
        <v>107.8</v>
      </c>
      <c r="C22" s="107">
        <v>544.6</v>
      </c>
      <c r="D22" s="107">
        <v>566.1</v>
      </c>
      <c r="E22" s="107">
        <v>563.79999999999995</v>
      </c>
      <c r="F22" s="497">
        <v>781.4</v>
      </c>
      <c r="G22" s="497">
        <v>807.7</v>
      </c>
    </row>
    <row r="23" spans="1:18">
      <c r="A23" s="198" t="s">
        <v>800</v>
      </c>
      <c r="B23" s="146">
        <v>883</v>
      </c>
      <c r="C23" s="107">
        <v>5060</v>
      </c>
      <c r="D23" s="107">
        <v>5376.9</v>
      </c>
      <c r="E23" s="107">
        <v>5473.9</v>
      </c>
      <c r="F23" s="497">
        <v>6630.7</v>
      </c>
      <c r="G23" s="497">
        <v>7254.5</v>
      </c>
    </row>
    <row r="24" spans="1:18" ht="12.75" customHeight="1">
      <c r="A24" s="198" t="s">
        <v>801</v>
      </c>
      <c r="B24" s="146">
        <v>236</v>
      </c>
      <c r="C24" s="107">
        <v>1755</v>
      </c>
      <c r="D24" s="107">
        <v>1735</v>
      </c>
      <c r="E24" s="107">
        <v>1914.2</v>
      </c>
      <c r="F24" s="497">
        <v>2129.9</v>
      </c>
      <c r="G24" s="497">
        <f>ROUNDDOWN(1620.05,1)</f>
        <v>1620</v>
      </c>
    </row>
    <row r="25" spans="1:18">
      <c r="A25" s="198" t="s">
        <v>802</v>
      </c>
      <c r="B25" s="380">
        <v>1314</v>
      </c>
      <c r="C25" s="391">
        <v>7614</v>
      </c>
      <c r="D25" s="391">
        <v>8081.4</v>
      </c>
      <c r="E25" s="391">
        <v>9012.5</v>
      </c>
      <c r="F25" s="501">
        <v>9937.7000000000007</v>
      </c>
      <c r="G25" s="501">
        <v>11464.7</v>
      </c>
      <c r="H25" s="376"/>
      <c r="I25" s="376"/>
      <c r="J25" s="376"/>
      <c r="K25" s="376"/>
      <c r="L25" s="376"/>
      <c r="M25" s="376"/>
      <c r="N25" s="376"/>
      <c r="O25" s="376"/>
      <c r="P25" s="376"/>
      <c r="Q25" s="376"/>
      <c r="R25" s="376"/>
    </row>
    <row r="26" spans="1:18">
      <c r="A26" s="198" t="s">
        <v>803</v>
      </c>
      <c r="B26" s="146">
        <v>277</v>
      </c>
      <c r="C26" s="107">
        <v>1640</v>
      </c>
      <c r="D26" s="107">
        <v>1810.3</v>
      </c>
      <c r="E26" s="107">
        <v>1805.9</v>
      </c>
      <c r="F26" s="497">
        <v>2110.1999999999998</v>
      </c>
      <c r="G26" s="497">
        <v>2432.4</v>
      </c>
    </row>
    <row r="27" spans="1:18">
      <c r="A27" s="198" t="s">
        <v>804</v>
      </c>
      <c r="B27" s="146">
        <v>697</v>
      </c>
      <c r="C27" s="107">
        <v>4506</v>
      </c>
      <c r="D27" s="107">
        <v>5259.7</v>
      </c>
      <c r="E27" s="107">
        <v>5748.8</v>
      </c>
      <c r="F27" s="497">
        <v>6007.7</v>
      </c>
      <c r="G27" s="497">
        <v>7798.5</v>
      </c>
    </row>
    <row r="28" spans="1:18" ht="12.75" customHeight="1">
      <c r="A28" s="198" t="s">
        <v>805</v>
      </c>
      <c r="B28" s="146">
        <v>53</v>
      </c>
      <c r="C28" s="107">
        <v>327</v>
      </c>
      <c r="D28" s="107">
        <v>346.4</v>
      </c>
      <c r="E28" s="107">
        <v>328.3</v>
      </c>
      <c r="F28" s="497">
        <v>371.4</v>
      </c>
      <c r="G28" s="497">
        <v>367.1</v>
      </c>
    </row>
    <row r="29" spans="1:18">
      <c r="A29" s="198" t="s">
        <v>806</v>
      </c>
      <c r="B29" s="146">
        <v>8.5</v>
      </c>
      <c r="C29" s="107">
        <v>57.2</v>
      </c>
      <c r="D29" s="107">
        <v>62.2</v>
      </c>
      <c r="E29" s="107">
        <v>66.099999999999994</v>
      </c>
      <c r="F29" s="497">
        <v>82.5</v>
      </c>
      <c r="G29" s="497">
        <v>95.5</v>
      </c>
    </row>
    <row r="30" spans="1:18">
      <c r="A30" s="623" t="s">
        <v>817</v>
      </c>
      <c r="B30" s="623"/>
      <c r="C30" s="623"/>
      <c r="D30" s="623"/>
      <c r="E30" s="623"/>
      <c r="F30" s="623"/>
      <c r="G30" s="299"/>
    </row>
    <row r="31" spans="1:18" ht="13.95" customHeight="1">
      <c r="A31" s="300" t="s">
        <v>799</v>
      </c>
      <c r="B31" s="301">
        <v>0</v>
      </c>
      <c r="C31" s="181">
        <v>0</v>
      </c>
      <c r="D31" s="181">
        <v>0</v>
      </c>
      <c r="E31" s="181">
        <v>0</v>
      </c>
      <c r="F31" s="313">
        <v>105.4</v>
      </c>
      <c r="G31" s="313">
        <v>110.5</v>
      </c>
    </row>
    <row r="32" spans="1:18" ht="14.4" customHeight="1">
      <c r="A32" s="300" t="s">
        <v>800</v>
      </c>
      <c r="B32" s="301">
        <v>0</v>
      </c>
      <c r="C32" s="181">
        <v>0</v>
      </c>
      <c r="D32" s="181">
        <v>0</v>
      </c>
      <c r="E32" s="181">
        <v>0</v>
      </c>
      <c r="F32" s="313">
        <v>502.8</v>
      </c>
      <c r="G32" s="313">
        <v>554.4</v>
      </c>
    </row>
    <row r="33" spans="1:7" ht="14.4" customHeight="1">
      <c r="A33" s="300" t="s">
        <v>801</v>
      </c>
      <c r="B33" s="301">
        <v>0</v>
      </c>
      <c r="C33" s="181">
        <v>0</v>
      </c>
      <c r="D33" s="181">
        <v>0</v>
      </c>
      <c r="E33" s="181">
        <v>0</v>
      </c>
      <c r="F33" s="313">
        <f>ROUND(110.76,1)</f>
        <v>110.8</v>
      </c>
      <c r="G33" s="313">
        <f>ROUND(133.74,1)</f>
        <v>133.69999999999999</v>
      </c>
    </row>
    <row r="34" spans="1:7">
      <c r="A34" s="300" t="s">
        <v>802</v>
      </c>
      <c r="B34" s="301">
        <v>0</v>
      </c>
      <c r="C34" s="181">
        <v>0</v>
      </c>
      <c r="D34" s="181">
        <v>0</v>
      </c>
      <c r="E34" s="181">
        <v>0</v>
      </c>
      <c r="F34" s="313">
        <v>836</v>
      </c>
      <c r="G34" s="313">
        <v>898.1</v>
      </c>
    </row>
    <row r="35" spans="1:7">
      <c r="A35" s="300" t="s">
        <v>803</v>
      </c>
      <c r="B35" s="301">
        <v>0</v>
      </c>
      <c r="C35" s="181">
        <v>0</v>
      </c>
      <c r="D35" s="181">
        <v>0</v>
      </c>
      <c r="E35" s="181">
        <v>0</v>
      </c>
      <c r="F35" s="313">
        <v>48.3</v>
      </c>
      <c r="G35" s="313">
        <v>68.2</v>
      </c>
    </row>
    <row r="36" spans="1:7" ht="13.2" customHeight="1" thickBot="1">
      <c r="A36" s="302" t="s">
        <v>804</v>
      </c>
      <c r="B36" s="304">
        <v>0</v>
      </c>
      <c r="C36" s="182">
        <v>0</v>
      </c>
      <c r="D36" s="182">
        <v>0</v>
      </c>
      <c r="E36" s="182">
        <v>0</v>
      </c>
      <c r="F36" s="45">
        <v>460.3</v>
      </c>
      <c r="G36" s="45">
        <v>528.5</v>
      </c>
    </row>
    <row r="37" spans="1:7" ht="13.8" thickTop="1">
      <c r="A37" s="303" t="s">
        <v>818</v>
      </c>
      <c r="B37" s="148"/>
      <c r="C37" s="148"/>
      <c r="D37" s="148"/>
      <c r="E37" s="148"/>
      <c r="F37" s="148"/>
      <c r="G37" s="148"/>
    </row>
    <row r="38" spans="1:7">
      <c r="A38" s="123" t="s">
        <v>798</v>
      </c>
      <c r="B38" s="146">
        <v>11</v>
      </c>
      <c r="C38" s="107">
        <v>12.1</v>
      </c>
      <c r="D38" s="107">
        <v>9.3000000000000007</v>
      </c>
      <c r="E38" s="107">
        <v>4.4000000000000004</v>
      </c>
      <c r="F38" s="181">
        <v>0</v>
      </c>
      <c r="G38" s="181">
        <v>0</v>
      </c>
    </row>
    <row r="39" spans="1:7" ht="16.95" customHeight="1">
      <c r="A39" s="123" t="s">
        <v>799</v>
      </c>
      <c r="B39" s="146">
        <v>2891</v>
      </c>
      <c r="C39" s="107">
        <v>2942.8</v>
      </c>
      <c r="D39" s="107">
        <v>2861.7</v>
      </c>
      <c r="E39" s="107">
        <v>1503.1</v>
      </c>
      <c r="F39" s="181">
        <v>0</v>
      </c>
      <c r="G39" s="181">
        <v>0</v>
      </c>
    </row>
    <row r="40" spans="1:7" ht="16.2" customHeight="1">
      <c r="A40" s="123" t="s">
        <v>809</v>
      </c>
      <c r="B40" s="146">
        <v>2465</v>
      </c>
      <c r="C40" s="107">
        <v>3015.3</v>
      </c>
      <c r="D40" s="107">
        <v>2061.4</v>
      </c>
      <c r="E40" s="107">
        <v>933.9</v>
      </c>
      <c r="F40" s="181">
        <v>0</v>
      </c>
      <c r="G40" s="181">
        <v>0</v>
      </c>
    </row>
    <row r="41" spans="1:7" ht="16.95" customHeight="1">
      <c r="A41" s="123" t="s">
        <v>819</v>
      </c>
      <c r="B41" s="146">
        <v>562</v>
      </c>
      <c r="C41" s="107">
        <v>613</v>
      </c>
      <c r="D41" s="107">
        <v>677</v>
      </c>
      <c r="E41" s="107">
        <v>284</v>
      </c>
      <c r="F41" s="181">
        <v>0</v>
      </c>
      <c r="G41" s="181">
        <v>0</v>
      </c>
    </row>
    <row r="42" spans="1:7" ht="26.4" customHeight="1">
      <c r="A42" s="123" t="s">
        <v>820</v>
      </c>
      <c r="B42" s="146">
        <v>1848</v>
      </c>
      <c r="C42" s="107">
        <v>2122.5</v>
      </c>
      <c r="D42" s="107">
        <v>1997.9</v>
      </c>
      <c r="E42" s="107">
        <v>1096.3</v>
      </c>
      <c r="F42" s="181">
        <v>0</v>
      </c>
      <c r="G42" s="181">
        <v>0</v>
      </c>
    </row>
    <row r="43" spans="1:7" ht="13.2" customHeight="1">
      <c r="A43" s="123" t="s">
        <v>821</v>
      </c>
      <c r="B43" s="146">
        <v>469</v>
      </c>
      <c r="C43" s="107">
        <v>490</v>
      </c>
      <c r="D43" s="107">
        <v>506</v>
      </c>
      <c r="E43" s="107">
        <v>290</v>
      </c>
      <c r="F43" s="181">
        <v>0</v>
      </c>
      <c r="G43" s="181">
        <v>0</v>
      </c>
    </row>
    <row r="44" spans="1:7">
      <c r="A44" s="123" t="s">
        <v>822</v>
      </c>
      <c r="B44" s="146">
        <v>584</v>
      </c>
      <c r="C44" s="107">
        <v>624</v>
      </c>
      <c r="D44" s="107">
        <v>553.4</v>
      </c>
      <c r="E44" s="107">
        <v>267.89999999999998</v>
      </c>
      <c r="F44" s="181">
        <v>0</v>
      </c>
      <c r="G44" s="181">
        <v>0</v>
      </c>
    </row>
    <row r="45" spans="1:7" ht="13.2" customHeight="1">
      <c r="A45" s="123" t="s">
        <v>823</v>
      </c>
      <c r="B45" s="146">
        <v>990</v>
      </c>
      <c r="C45" s="107">
        <v>1109</v>
      </c>
      <c r="D45" s="107">
        <v>1134.5999999999999</v>
      </c>
      <c r="E45" s="107">
        <v>544.5</v>
      </c>
      <c r="F45" s="181">
        <v>0</v>
      </c>
      <c r="G45" s="181">
        <v>0</v>
      </c>
    </row>
    <row r="46" spans="1:7" ht="13.2" customHeight="1">
      <c r="A46" s="123" t="s">
        <v>824</v>
      </c>
      <c r="B46" s="146">
        <v>379</v>
      </c>
      <c r="C46" s="107">
        <v>371.5</v>
      </c>
      <c r="D46" s="107">
        <v>458.4</v>
      </c>
      <c r="E46" s="107">
        <v>243.5</v>
      </c>
      <c r="F46" s="181">
        <v>0</v>
      </c>
      <c r="G46" s="181">
        <v>0</v>
      </c>
    </row>
    <row r="47" spans="1:7" ht="13.95" customHeight="1">
      <c r="A47" s="123" t="s">
        <v>825</v>
      </c>
      <c r="B47" s="146">
        <v>1482</v>
      </c>
      <c r="C47" s="107">
        <v>1360.4</v>
      </c>
      <c r="D47" s="107">
        <v>1598.1</v>
      </c>
      <c r="E47" s="107">
        <v>1103.4000000000001</v>
      </c>
      <c r="F47" s="181">
        <v>0</v>
      </c>
      <c r="G47" s="181">
        <v>0</v>
      </c>
    </row>
    <row r="48" spans="1:7" ht="13.8" thickBot="1">
      <c r="A48" s="237" t="s">
        <v>826</v>
      </c>
      <c r="B48" s="298">
        <v>13.4</v>
      </c>
      <c r="C48" s="142">
        <v>12.8</v>
      </c>
      <c r="D48" s="142">
        <v>13.6</v>
      </c>
      <c r="E48" s="142">
        <v>6.5</v>
      </c>
      <c r="F48" s="182">
        <v>0</v>
      </c>
      <c r="G48" s="182">
        <v>0</v>
      </c>
    </row>
    <row r="49" spans="1:7" ht="13.8" thickTop="1">
      <c r="A49" s="97" t="s">
        <v>1115</v>
      </c>
      <c r="B49" s="28"/>
      <c r="C49" s="28"/>
      <c r="D49" s="28"/>
      <c r="E49" s="28"/>
      <c r="F49" s="28"/>
      <c r="G49" s="28"/>
    </row>
    <row r="50" spans="1:7">
      <c r="A50" s="97" t="s">
        <v>827</v>
      </c>
      <c r="B50" s="28"/>
      <c r="C50" s="28"/>
      <c r="D50" s="28"/>
      <c r="E50" s="28"/>
      <c r="F50" s="28"/>
      <c r="G50" s="28"/>
    </row>
    <row r="51" spans="1:7">
      <c r="A51" s="97" t="s">
        <v>1152</v>
      </c>
      <c r="B51" s="28"/>
      <c r="C51" s="28"/>
      <c r="D51" s="28"/>
      <c r="E51" s="28"/>
      <c r="F51" s="28"/>
      <c r="G51" s="28"/>
    </row>
    <row r="52" spans="1:7">
      <c r="A52" s="28"/>
      <c r="B52" s="28"/>
      <c r="C52" s="28"/>
      <c r="D52" s="28"/>
      <c r="E52" s="28"/>
      <c r="F52" s="28"/>
      <c r="G52" s="28"/>
    </row>
    <row r="53" spans="1:7">
      <c r="A53" s="530" t="s">
        <v>213</v>
      </c>
      <c r="B53" s="530"/>
      <c r="C53" s="530"/>
      <c r="D53" s="530"/>
      <c r="E53" s="530"/>
      <c r="F53" s="530"/>
      <c r="G53" s="20"/>
    </row>
  </sheetData>
  <sheetProtection password="CAF1" sheet="1" formatCells="0" formatColumns="0" formatRows="0" insertColumns="0" insertRows="0" insertHyperlinks="0" deleteColumns="0" deleteRows="0" sort="0" autoFilter="0" pivotTables="0"/>
  <mergeCells count="5">
    <mergeCell ref="A2:G2"/>
    <mergeCell ref="B3:G3"/>
    <mergeCell ref="A53:F53"/>
    <mergeCell ref="A30:F30"/>
    <mergeCell ref="B5:F5"/>
  </mergeCells>
  <phoneticPr fontId="24" type="noConversion"/>
  <hyperlinks>
    <hyperlink ref="A53:F53"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24.xml><?xml version="1.0" encoding="utf-8"?>
<worksheet xmlns="http://schemas.openxmlformats.org/spreadsheetml/2006/main" xmlns:r="http://schemas.openxmlformats.org/officeDocument/2006/relationships">
  <dimension ref="A1:R35"/>
  <sheetViews>
    <sheetView zoomScaleNormal="100" zoomScaleSheetLayoutView="100" workbookViewId="0"/>
  </sheetViews>
  <sheetFormatPr defaultColWidth="0" defaultRowHeight="13.2" zeroHeight="1"/>
  <cols>
    <col min="1" max="1" width="20.44140625" style="2" customWidth="1"/>
    <col min="2" max="2" width="14.44140625" style="2" customWidth="1"/>
    <col min="3" max="3" width="13.33203125" style="2" customWidth="1"/>
    <col min="4" max="4" width="10.6640625" style="2" customWidth="1"/>
    <col min="5" max="5" width="13.44140625" style="2" customWidth="1"/>
    <col min="6" max="6" width="28.6640625" style="2" customWidth="1"/>
    <col min="7" max="16384" width="0" style="2" hidden="1"/>
  </cols>
  <sheetData>
    <row r="1" spans="1:6" ht="15.6">
      <c r="A1" s="48" t="s">
        <v>828</v>
      </c>
      <c r="B1" s="28"/>
      <c r="C1" s="28"/>
      <c r="D1" s="28"/>
      <c r="E1" s="28"/>
      <c r="F1" s="28"/>
    </row>
    <row r="2" spans="1:6" ht="15.6">
      <c r="A2" s="48"/>
      <c r="B2" s="28"/>
      <c r="C2" s="28"/>
      <c r="D2" s="28"/>
      <c r="E2" s="28"/>
      <c r="F2" s="28"/>
    </row>
    <row r="3" spans="1:6" ht="39.9" customHeight="1">
      <c r="A3" s="48"/>
      <c r="B3" s="28"/>
      <c r="C3" s="28"/>
      <c r="D3" s="28"/>
      <c r="E3" s="28"/>
      <c r="F3" s="28"/>
    </row>
    <row r="4" spans="1:6" ht="39.9" customHeight="1">
      <c r="A4" s="48"/>
      <c r="B4" s="28"/>
      <c r="C4" s="28"/>
      <c r="D4" s="28"/>
      <c r="E4" s="28"/>
      <c r="F4" s="28"/>
    </row>
    <row r="5" spans="1:6" ht="39.9" customHeight="1">
      <c r="A5" s="48"/>
      <c r="B5" s="28"/>
      <c r="C5" s="28"/>
      <c r="D5" s="28"/>
      <c r="E5" s="28"/>
      <c r="F5" s="28"/>
    </row>
    <row r="6" spans="1:6" ht="39.9" customHeight="1">
      <c r="A6" s="48"/>
      <c r="B6" s="28"/>
      <c r="C6" s="28"/>
      <c r="D6" s="28"/>
      <c r="E6" s="28"/>
      <c r="F6" s="28"/>
    </row>
    <row r="7" spans="1:6" ht="39.9" customHeight="1">
      <c r="A7" s="48"/>
      <c r="B7" s="28"/>
      <c r="C7" s="28"/>
      <c r="D7" s="28"/>
      <c r="E7" s="28"/>
      <c r="F7" s="28"/>
    </row>
    <row r="8" spans="1:6" ht="39.9" customHeight="1">
      <c r="A8" s="48"/>
      <c r="B8" s="28"/>
      <c r="C8" s="28"/>
      <c r="D8" s="28"/>
      <c r="E8" s="28"/>
      <c r="F8" s="28"/>
    </row>
    <row r="9" spans="1:6" ht="39.9" customHeight="1">
      <c r="A9" s="48"/>
      <c r="B9" s="28"/>
      <c r="C9" s="28"/>
      <c r="D9" s="28"/>
      <c r="E9" s="28"/>
      <c r="F9" s="28"/>
    </row>
    <row r="10" spans="1:6" ht="39.9" customHeight="1">
      <c r="A10" s="48"/>
      <c r="B10" s="28"/>
      <c r="C10" s="28"/>
      <c r="D10" s="28"/>
      <c r="E10" s="28"/>
      <c r="F10" s="28"/>
    </row>
    <row r="11" spans="1:6" ht="39.9" customHeight="1">
      <c r="A11" s="48"/>
      <c r="B11" s="28"/>
      <c r="C11" s="28"/>
      <c r="D11" s="28"/>
      <c r="E11" s="28"/>
      <c r="F11" s="28"/>
    </row>
    <row r="12" spans="1:6" ht="36.75" customHeight="1">
      <c r="A12" s="552" t="s">
        <v>482</v>
      </c>
      <c r="B12" s="552"/>
      <c r="C12" s="552"/>
      <c r="D12" s="552"/>
      <c r="E12" s="552"/>
      <c r="F12" s="552"/>
    </row>
    <row r="13" spans="1:6" ht="40.799999999999997">
      <c r="A13" s="153" t="s">
        <v>1068</v>
      </c>
      <c r="B13" s="153" t="s">
        <v>483</v>
      </c>
      <c r="C13" s="153" t="s">
        <v>484</v>
      </c>
      <c r="D13" s="153" t="s">
        <v>485</v>
      </c>
      <c r="E13" s="153" t="s">
        <v>487</v>
      </c>
      <c r="F13" s="153" t="s">
        <v>486</v>
      </c>
    </row>
    <row r="14" spans="1:6" ht="13.8" thickBot="1">
      <c r="A14" s="624" t="s">
        <v>147</v>
      </c>
      <c r="B14" s="624"/>
      <c r="C14" s="624"/>
      <c r="D14" s="624"/>
      <c r="E14" s="624"/>
      <c r="F14" s="624"/>
    </row>
    <row r="15" spans="1:6" ht="22.95" customHeight="1">
      <c r="A15" s="271" t="s">
        <v>488</v>
      </c>
      <c r="B15" s="271" t="s">
        <v>436</v>
      </c>
      <c r="C15" s="305" t="s">
        <v>489</v>
      </c>
      <c r="D15" s="293">
        <v>1986</v>
      </c>
      <c r="E15" s="271" t="s">
        <v>648</v>
      </c>
      <c r="F15" s="616" t="s">
        <v>490</v>
      </c>
    </row>
    <row r="16" spans="1:6" ht="34.200000000000003" customHeight="1" thickBot="1">
      <c r="A16" s="270"/>
      <c r="B16" s="266"/>
      <c r="C16" s="270"/>
      <c r="D16" s="266"/>
      <c r="E16" s="266" t="s">
        <v>649</v>
      </c>
      <c r="F16" s="617"/>
    </row>
    <row r="17" spans="1:18" ht="22.95" customHeight="1">
      <c r="A17" s="271" t="s">
        <v>491</v>
      </c>
      <c r="B17" s="271" t="s">
        <v>439</v>
      </c>
      <c r="C17" s="271" t="s">
        <v>492</v>
      </c>
      <c r="D17" s="293">
        <v>1974</v>
      </c>
      <c r="E17" s="123" t="s">
        <v>650</v>
      </c>
      <c r="F17" s="271" t="s">
        <v>493</v>
      </c>
    </row>
    <row r="18" spans="1:18" ht="31.2" thickBot="1">
      <c r="A18" s="266"/>
      <c r="B18" s="266"/>
      <c r="C18" s="266"/>
      <c r="D18" s="266"/>
      <c r="E18" s="123" t="s">
        <v>651</v>
      </c>
      <c r="F18" s="266"/>
    </row>
    <row r="19" spans="1:18" ht="25.95" customHeight="1" thickBot="1">
      <c r="A19" s="306" t="s">
        <v>494</v>
      </c>
      <c r="B19" s="291" t="s">
        <v>439</v>
      </c>
      <c r="C19" s="307" t="s">
        <v>492</v>
      </c>
      <c r="D19" s="306">
        <v>1978</v>
      </c>
      <c r="E19" s="291" t="s">
        <v>646</v>
      </c>
      <c r="F19" s="307" t="s">
        <v>495</v>
      </c>
    </row>
    <row r="20" spans="1:18" ht="22.95" customHeight="1">
      <c r="A20" s="305" t="s">
        <v>1153</v>
      </c>
      <c r="B20" s="271" t="s">
        <v>496</v>
      </c>
      <c r="C20" s="293" t="s">
        <v>497</v>
      </c>
      <c r="D20" s="293">
        <v>1946</v>
      </c>
      <c r="E20" s="271" t="s">
        <v>647</v>
      </c>
      <c r="F20" s="616" t="s">
        <v>498</v>
      </c>
    </row>
    <row r="21" spans="1:18" ht="44.4" customHeight="1" thickBot="1">
      <c r="A21" s="270"/>
      <c r="B21" s="266"/>
      <c r="C21" s="270"/>
      <c r="D21" s="266"/>
      <c r="E21" s="266" t="s">
        <v>652</v>
      </c>
      <c r="F21" s="617"/>
    </row>
    <row r="22" spans="1:18" ht="58.5" customHeight="1" thickBot="1">
      <c r="A22" s="294" t="s">
        <v>499</v>
      </c>
      <c r="B22" s="266" t="s">
        <v>496</v>
      </c>
      <c r="C22" s="270" t="s">
        <v>500</v>
      </c>
      <c r="D22" s="294">
        <v>1985</v>
      </c>
      <c r="E22" s="266" t="s">
        <v>653</v>
      </c>
      <c r="F22" s="270" t="s">
        <v>501</v>
      </c>
    </row>
    <row r="23" spans="1:18" ht="70.5" customHeight="1" thickBot="1">
      <c r="A23" s="306" t="s">
        <v>502</v>
      </c>
      <c r="B23" s="291" t="s">
        <v>496</v>
      </c>
      <c r="C23" s="307" t="s">
        <v>503</v>
      </c>
      <c r="D23" s="306">
        <v>1985</v>
      </c>
      <c r="E23" s="291" t="s">
        <v>654</v>
      </c>
      <c r="F23" s="307" t="s">
        <v>504</v>
      </c>
    </row>
    <row r="24" spans="1:18" ht="24.6" customHeight="1" thickBot="1">
      <c r="A24" s="123" t="s">
        <v>505</v>
      </c>
      <c r="B24" s="214" t="s">
        <v>506</v>
      </c>
      <c r="C24" s="214" t="s">
        <v>507</v>
      </c>
      <c r="D24" s="214">
        <v>1983</v>
      </c>
      <c r="E24" s="123" t="s">
        <v>508</v>
      </c>
      <c r="F24" s="123" t="s">
        <v>509</v>
      </c>
    </row>
    <row r="25" spans="1:18" ht="14.4" thickTop="1" thickBot="1">
      <c r="A25" s="626" t="s">
        <v>816</v>
      </c>
      <c r="B25" s="627"/>
      <c r="C25" s="627"/>
      <c r="D25" s="627"/>
      <c r="E25" s="627"/>
      <c r="F25" s="627"/>
      <c r="G25" s="376"/>
      <c r="H25" s="376"/>
      <c r="I25" s="376"/>
      <c r="J25" s="376"/>
      <c r="K25" s="376"/>
      <c r="L25" s="376"/>
      <c r="M25" s="376"/>
      <c r="N25" s="376"/>
      <c r="O25" s="376"/>
      <c r="P25" s="376"/>
      <c r="Q25" s="376"/>
      <c r="R25" s="376"/>
    </row>
    <row r="26" spans="1:18" ht="46.2" customHeight="1" thickBot="1">
      <c r="A26" s="307" t="s">
        <v>510</v>
      </c>
      <c r="B26" s="306" t="s">
        <v>511</v>
      </c>
      <c r="C26" s="306" t="s">
        <v>512</v>
      </c>
      <c r="D26" s="306">
        <v>1955</v>
      </c>
      <c r="E26" s="306" t="s">
        <v>513</v>
      </c>
      <c r="F26" s="307" t="s">
        <v>514</v>
      </c>
    </row>
    <row r="27" spans="1:18" ht="36" customHeight="1" thickBot="1">
      <c r="A27" s="307" t="s">
        <v>515</v>
      </c>
      <c r="B27" s="306" t="s">
        <v>516</v>
      </c>
      <c r="C27" s="306" t="s">
        <v>517</v>
      </c>
      <c r="D27" s="306">
        <v>1938</v>
      </c>
      <c r="E27" s="306" t="s">
        <v>518</v>
      </c>
      <c r="F27" s="291" t="s">
        <v>519</v>
      </c>
    </row>
    <row r="28" spans="1:18" ht="36" customHeight="1" thickBot="1">
      <c r="A28" s="291" t="s">
        <v>520</v>
      </c>
      <c r="B28" s="306" t="s">
        <v>1087</v>
      </c>
      <c r="C28" s="306" t="s">
        <v>521</v>
      </c>
      <c r="D28" s="306">
        <v>1976</v>
      </c>
      <c r="E28" s="306" t="s">
        <v>522</v>
      </c>
      <c r="F28" s="291" t="s">
        <v>523</v>
      </c>
    </row>
    <row r="29" spans="1:18" ht="45" customHeight="1">
      <c r="A29" s="402" t="s">
        <v>524</v>
      </c>
      <c r="B29" s="404" t="s">
        <v>1088</v>
      </c>
      <c r="C29" s="404" t="s">
        <v>526</v>
      </c>
      <c r="D29" s="404">
        <v>1968</v>
      </c>
      <c r="E29" s="614" t="s">
        <v>530</v>
      </c>
      <c r="F29" s="404" t="s">
        <v>525</v>
      </c>
    </row>
    <row r="30" spans="1:18" ht="42" customHeight="1" thickBot="1">
      <c r="A30" s="237" t="s">
        <v>528</v>
      </c>
      <c r="B30" s="207" t="s">
        <v>1088</v>
      </c>
      <c r="C30" s="207" t="s">
        <v>527</v>
      </c>
      <c r="D30" s="207">
        <v>1968</v>
      </c>
      <c r="E30" s="625"/>
      <c r="F30" s="308" t="s">
        <v>529</v>
      </c>
    </row>
    <row r="31" spans="1:18" ht="30.75" customHeight="1" thickTop="1">
      <c r="A31" s="529" t="s">
        <v>1154</v>
      </c>
      <c r="B31" s="529"/>
      <c r="C31" s="529"/>
      <c r="D31" s="529"/>
      <c r="E31" s="529"/>
      <c r="F31" s="529"/>
    </row>
    <row r="32" spans="1:18" ht="40.799999999999997">
      <c r="A32" s="153" t="s">
        <v>1068</v>
      </c>
      <c r="B32" s="153" t="s">
        <v>483</v>
      </c>
      <c r="C32" s="153" t="s">
        <v>484</v>
      </c>
      <c r="D32" s="153" t="s">
        <v>485</v>
      </c>
      <c r="E32" s="153" t="s">
        <v>531</v>
      </c>
      <c r="F32" s="153" t="s">
        <v>486</v>
      </c>
    </row>
    <row r="33" spans="1:6" ht="53.25" customHeight="1" thickBot="1">
      <c r="A33" s="123" t="s">
        <v>532</v>
      </c>
      <c r="B33" s="123" t="s">
        <v>533</v>
      </c>
      <c r="C33" s="212" t="s">
        <v>534</v>
      </c>
      <c r="D33" s="212" t="s">
        <v>645</v>
      </c>
      <c r="E33" s="123" t="s">
        <v>535</v>
      </c>
      <c r="F33" s="123" t="s">
        <v>536</v>
      </c>
    </row>
    <row r="34" spans="1:6" ht="13.8" thickTop="1">
      <c r="A34" s="148"/>
      <c r="B34" s="148"/>
      <c r="C34" s="148"/>
      <c r="D34" s="148"/>
      <c r="E34" s="148"/>
      <c r="F34" s="148"/>
    </row>
    <row r="35" spans="1:6">
      <c r="A35" s="530" t="s">
        <v>213</v>
      </c>
      <c r="B35" s="530"/>
      <c r="C35" s="530"/>
      <c r="D35" s="530"/>
      <c r="E35" s="530"/>
      <c r="F35" s="530"/>
    </row>
  </sheetData>
  <sheetProtection password="CAF1" sheet="1" formatCells="0" formatColumns="0" formatRows="0" insertColumns="0" insertRows="0" insertHyperlinks="0" deleteColumns="0" deleteRows="0" sort="0" autoFilter="0" pivotTables="0"/>
  <mergeCells count="8">
    <mergeCell ref="A12:F12"/>
    <mergeCell ref="A14:F14"/>
    <mergeCell ref="A35:F35"/>
    <mergeCell ref="A31:F31"/>
    <mergeCell ref="E29:E30"/>
    <mergeCell ref="A25:F25"/>
    <mergeCell ref="F15:F16"/>
    <mergeCell ref="F20:F21"/>
  </mergeCells>
  <phoneticPr fontId="24" type="noConversion"/>
  <hyperlinks>
    <hyperlink ref="A35:F35"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19" max="5" man="1"/>
  </rowBreaks>
  <drawing r:id="rId2"/>
</worksheet>
</file>

<file path=xl/worksheets/sheet25.xml><?xml version="1.0" encoding="utf-8"?>
<worksheet xmlns="http://schemas.openxmlformats.org/spreadsheetml/2006/main" xmlns:r="http://schemas.openxmlformats.org/officeDocument/2006/relationships">
  <dimension ref="A1:R41"/>
  <sheetViews>
    <sheetView zoomScaleNormal="100" zoomScaleSheetLayoutView="100" workbookViewId="0"/>
  </sheetViews>
  <sheetFormatPr defaultColWidth="0" defaultRowHeight="13.2" zeroHeight="1"/>
  <cols>
    <col min="1" max="1" width="56.6640625" style="2" customWidth="1"/>
    <col min="2" max="2" width="3" style="2" hidden="1" customWidth="1"/>
    <col min="3" max="3" width="7.33203125" style="2" customWidth="1"/>
    <col min="4" max="7" width="9.33203125" style="2" customWidth="1"/>
    <col min="8" max="16384" width="0" style="2" hidden="1"/>
  </cols>
  <sheetData>
    <row r="1" spans="1:7" ht="15.6">
      <c r="A1" s="48" t="s">
        <v>829</v>
      </c>
      <c r="B1" s="28"/>
      <c r="C1" s="28"/>
      <c r="D1" s="28"/>
      <c r="E1" s="28"/>
      <c r="F1" s="28"/>
      <c r="G1" s="28"/>
    </row>
    <row r="2" spans="1:7" ht="18.75" customHeight="1">
      <c r="A2" s="256" t="s">
        <v>830</v>
      </c>
      <c r="B2" s="28"/>
      <c r="C2" s="28"/>
      <c r="D2" s="28"/>
      <c r="E2" s="28"/>
      <c r="F2" s="28"/>
      <c r="G2" s="28"/>
    </row>
    <row r="3" spans="1:7" ht="12.75" customHeight="1">
      <c r="A3" s="117"/>
      <c r="B3" s="145"/>
      <c r="C3" s="145"/>
      <c r="D3" s="531" t="s">
        <v>300</v>
      </c>
      <c r="E3" s="531"/>
      <c r="F3" s="531"/>
      <c r="G3" s="531"/>
    </row>
    <row r="4" spans="1:7">
      <c r="A4" s="117"/>
      <c r="B4" s="29"/>
      <c r="C4" s="29"/>
      <c r="D4" s="489">
        <v>2007</v>
      </c>
      <c r="E4" s="489">
        <v>2008</v>
      </c>
      <c r="F4" s="489">
        <v>2009</v>
      </c>
      <c r="G4" s="489">
        <v>2010</v>
      </c>
    </row>
    <row r="5" spans="1:7">
      <c r="A5" s="175" t="s">
        <v>831</v>
      </c>
      <c r="B5" s="175"/>
      <c r="C5" s="175"/>
      <c r="D5" s="175"/>
      <c r="E5" s="175"/>
      <c r="F5" s="175"/>
      <c r="G5" s="175"/>
    </row>
    <row r="6" spans="1:7">
      <c r="A6" s="42" t="s">
        <v>832</v>
      </c>
      <c r="B6" s="309"/>
      <c r="C6" s="309"/>
      <c r="D6" s="309">
        <v>11117</v>
      </c>
      <c r="E6" s="309">
        <v>11904</v>
      </c>
      <c r="F6" s="309">
        <v>11918</v>
      </c>
      <c r="G6" s="313" t="s">
        <v>1090</v>
      </c>
    </row>
    <row r="7" spans="1:7">
      <c r="A7" s="42" t="s">
        <v>833</v>
      </c>
      <c r="B7" s="309"/>
      <c r="C7" s="309"/>
      <c r="D7" s="309">
        <v>0</v>
      </c>
      <c r="E7" s="309">
        <v>8695</v>
      </c>
      <c r="F7" s="309">
        <v>8695</v>
      </c>
      <c r="G7" s="313" t="s">
        <v>1091</v>
      </c>
    </row>
    <row r="8" spans="1:7">
      <c r="A8" s="42" t="s">
        <v>834</v>
      </c>
      <c r="B8" s="309"/>
      <c r="C8" s="309"/>
      <c r="D8" s="309">
        <v>0</v>
      </c>
      <c r="E8" s="309">
        <v>9052</v>
      </c>
      <c r="F8" s="309">
        <v>9052</v>
      </c>
      <c r="G8" s="313" t="s">
        <v>1092</v>
      </c>
    </row>
    <row r="9" spans="1:7">
      <c r="A9" s="42" t="s">
        <v>835</v>
      </c>
      <c r="B9" s="309"/>
      <c r="C9" s="309"/>
      <c r="D9" s="309">
        <v>0</v>
      </c>
      <c r="E9" s="309">
        <v>0</v>
      </c>
      <c r="F9" s="309">
        <v>6313</v>
      </c>
      <c r="G9" s="313" t="s">
        <v>1093</v>
      </c>
    </row>
    <row r="10" spans="1:7" ht="22.2" customHeight="1">
      <c r="A10" s="42" t="s">
        <v>836</v>
      </c>
      <c r="B10" s="309"/>
      <c r="C10" s="309"/>
      <c r="D10" s="309">
        <v>170</v>
      </c>
      <c r="E10" s="309">
        <v>170</v>
      </c>
      <c r="F10" s="309">
        <v>170</v>
      </c>
      <c r="G10" s="313">
        <v>170</v>
      </c>
    </row>
    <row r="11" spans="1:7" ht="13.8" thickBot="1">
      <c r="A11" s="310" t="s">
        <v>715</v>
      </c>
      <c r="B11" s="311"/>
      <c r="C11" s="311"/>
      <c r="D11" s="311">
        <v>11287</v>
      </c>
      <c r="E11" s="311">
        <v>29821</v>
      </c>
      <c r="F11" s="311">
        <v>36148</v>
      </c>
      <c r="G11" s="315" t="s">
        <v>1094</v>
      </c>
    </row>
    <row r="12" spans="1:7" ht="13.8" thickTop="1">
      <c r="A12" s="148" t="s">
        <v>837</v>
      </c>
      <c r="B12" s="148"/>
      <c r="C12" s="148"/>
      <c r="D12" s="148"/>
      <c r="E12" s="148"/>
      <c r="F12" s="148"/>
      <c r="G12" s="405"/>
    </row>
    <row r="13" spans="1:7">
      <c r="A13" s="42" t="s">
        <v>832</v>
      </c>
      <c r="B13" s="309"/>
      <c r="C13" s="309"/>
      <c r="D13" s="309">
        <v>34297</v>
      </c>
      <c r="E13" s="309">
        <v>34167</v>
      </c>
      <c r="F13" s="309">
        <v>34900</v>
      </c>
      <c r="G13" s="313" t="s">
        <v>1095</v>
      </c>
    </row>
    <row r="14" spans="1:7">
      <c r="A14" s="42" t="s">
        <v>833</v>
      </c>
      <c r="B14" s="309"/>
      <c r="C14" s="309"/>
      <c r="D14" s="309">
        <v>0</v>
      </c>
      <c r="E14" s="309">
        <v>1700</v>
      </c>
      <c r="F14" s="309">
        <v>1700</v>
      </c>
      <c r="G14" s="313" t="s">
        <v>1096</v>
      </c>
    </row>
    <row r="15" spans="1:7">
      <c r="A15" s="42" t="s">
        <v>834</v>
      </c>
      <c r="B15" s="309"/>
      <c r="C15" s="309"/>
      <c r="D15" s="309">
        <v>0</v>
      </c>
      <c r="E15" s="309">
        <v>2700</v>
      </c>
      <c r="F15" s="309">
        <v>2700</v>
      </c>
      <c r="G15" s="313" t="s">
        <v>1097</v>
      </c>
    </row>
    <row r="16" spans="1:7">
      <c r="A16" s="42" t="s">
        <v>835</v>
      </c>
      <c r="B16" s="309"/>
      <c r="C16" s="309"/>
      <c r="D16" s="309">
        <v>0</v>
      </c>
      <c r="E16" s="309">
        <v>0</v>
      </c>
      <c r="F16" s="309">
        <v>14362</v>
      </c>
      <c r="G16" s="313" t="s">
        <v>1098</v>
      </c>
    </row>
    <row r="17" spans="1:18" ht="25.2" customHeight="1">
      <c r="A17" s="42" t="s">
        <v>836</v>
      </c>
      <c r="B17" s="309"/>
      <c r="C17" s="309"/>
      <c r="D17" s="309">
        <v>894</v>
      </c>
      <c r="E17" s="309">
        <v>894</v>
      </c>
      <c r="F17" s="309">
        <v>894</v>
      </c>
      <c r="G17" s="313">
        <v>894</v>
      </c>
    </row>
    <row r="18" spans="1:18" ht="13.8" thickBot="1">
      <c r="A18" s="310" t="s">
        <v>715</v>
      </c>
      <c r="B18" s="311"/>
      <c r="C18" s="311"/>
      <c r="D18" s="311">
        <v>35191</v>
      </c>
      <c r="E18" s="311">
        <v>39461</v>
      </c>
      <c r="F18" s="311">
        <v>54556</v>
      </c>
      <c r="G18" s="315" t="s">
        <v>1099</v>
      </c>
    </row>
    <row r="19" spans="1:18" ht="13.8" thickTop="1">
      <c r="A19" s="628" t="s">
        <v>838</v>
      </c>
      <c r="B19" s="628"/>
      <c r="C19" s="628"/>
      <c r="D19" s="628"/>
      <c r="E19" s="628"/>
      <c r="F19" s="628"/>
      <c r="G19" s="628"/>
    </row>
    <row r="20" spans="1:18" ht="28.95" customHeight="1">
      <c r="A20" s="251" t="s">
        <v>839</v>
      </c>
      <c r="B20" s="28"/>
      <c r="C20" s="28"/>
      <c r="D20" s="28"/>
      <c r="E20" s="28"/>
      <c r="F20" s="28"/>
      <c r="G20" s="28"/>
    </row>
    <row r="21" spans="1:18" ht="12.75" customHeight="1">
      <c r="A21" s="117"/>
      <c r="B21" s="145"/>
      <c r="C21" s="145"/>
      <c r="D21" s="531" t="s">
        <v>671</v>
      </c>
      <c r="E21" s="531"/>
      <c r="F21" s="531"/>
      <c r="G21" s="531"/>
    </row>
    <row r="22" spans="1:18">
      <c r="A22" s="117"/>
      <c r="B22" s="29"/>
      <c r="C22" s="29"/>
      <c r="D22" s="489">
        <v>2007</v>
      </c>
      <c r="E22" s="489">
        <v>2008</v>
      </c>
      <c r="F22" s="489">
        <v>2009</v>
      </c>
      <c r="G22" s="489">
        <v>2010</v>
      </c>
    </row>
    <row r="23" spans="1:18">
      <c r="A23" s="175" t="s">
        <v>840</v>
      </c>
      <c r="B23" s="175"/>
      <c r="C23" s="175"/>
      <c r="D23" s="175"/>
      <c r="E23" s="175"/>
      <c r="F23" s="175"/>
      <c r="G23" s="175"/>
    </row>
    <row r="24" spans="1:18" ht="12.75" customHeight="1">
      <c r="A24" s="42" t="s">
        <v>832</v>
      </c>
      <c r="B24" s="181"/>
      <c r="C24" s="181"/>
      <c r="D24" s="181">
        <v>31.9</v>
      </c>
      <c r="E24" s="181">
        <v>64.2</v>
      </c>
      <c r="F24" s="181">
        <v>61.7</v>
      </c>
      <c r="G24" s="312">
        <v>65</v>
      </c>
    </row>
    <row r="25" spans="1:18">
      <c r="A25" s="42" t="s">
        <v>841</v>
      </c>
      <c r="B25" s="379"/>
      <c r="C25" s="379"/>
      <c r="D25" s="181">
        <v>0</v>
      </c>
      <c r="E25" s="181">
        <v>24.9</v>
      </c>
      <c r="F25" s="181">
        <v>47.2</v>
      </c>
      <c r="G25" s="313">
        <v>47.6</v>
      </c>
      <c r="H25" s="376"/>
      <c r="I25" s="376"/>
      <c r="J25" s="376"/>
      <c r="K25" s="376"/>
      <c r="L25" s="376"/>
      <c r="M25" s="376"/>
      <c r="N25" s="376"/>
      <c r="O25" s="376"/>
      <c r="P25" s="376"/>
      <c r="Q25" s="376"/>
      <c r="R25" s="376"/>
    </row>
    <row r="26" spans="1:18">
      <c r="A26" s="42" t="s">
        <v>842</v>
      </c>
      <c r="B26" s="181"/>
      <c r="C26" s="181"/>
      <c r="D26" s="181">
        <v>0</v>
      </c>
      <c r="E26" s="181">
        <v>19.5</v>
      </c>
      <c r="F26" s="181">
        <v>29</v>
      </c>
      <c r="G26" s="313">
        <v>34.9</v>
      </c>
    </row>
    <row r="27" spans="1:18">
      <c r="A27" s="42" t="s">
        <v>843</v>
      </c>
      <c r="B27" s="181"/>
      <c r="C27" s="181"/>
      <c r="D27" s="181">
        <v>0</v>
      </c>
      <c r="E27" s="181">
        <v>0</v>
      </c>
      <c r="F27" s="181">
        <v>0</v>
      </c>
      <c r="G27" s="313">
        <v>27.2</v>
      </c>
    </row>
    <row r="28" spans="1:18" ht="24" customHeight="1">
      <c r="A28" s="42" t="s">
        <v>836</v>
      </c>
      <c r="B28" s="181"/>
      <c r="C28" s="181"/>
      <c r="D28" s="181">
        <v>0.6</v>
      </c>
      <c r="E28" s="181">
        <v>0.7</v>
      </c>
      <c r="F28" s="181">
        <v>0.6</v>
      </c>
      <c r="G28" s="313">
        <v>0.4</v>
      </c>
    </row>
    <row r="29" spans="1:18" ht="13.8" thickBot="1">
      <c r="A29" s="310" t="s">
        <v>282</v>
      </c>
      <c r="B29" s="314"/>
      <c r="C29" s="314"/>
      <c r="D29" s="314">
        <v>32.5</v>
      </c>
      <c r="E29" s="314">
        <v>109.3</v>
      </c>
      <c r="F29" s="314">
        <v>138.5</v>
      </c>
      <c r="G29" s="315">
        <v>175.1</v>
      </c>
    </row>
    <row r="30" spans="1:18" ht="13.8" thickTop="1">
      <c r="A30" s="148" t="s">
        <v>844</v>
      </c>
      <c r="B30" s="148"/>
      <c r="C30" s="148"/>
      <c r="D30" s="148"/>
      <c r="E30" s="148"/>
      <c r="F30" s="148"/>
      <c r="G30" s="148"/>
    </row>
    <row r="31" spans="1:18">
      <c r="A31" s="42" t="s">
        <v>832</v>
      </c>
      <c r="B31" s="181"/>
      <c r="C31" s="181"/>
      <c r="D31" s="181">
        <v>28</v>
      </c>
      <c r="E31" s="181">
        <v>62.4</v>
      </c>
      <c r="F31" s="181">
        <v>65.3</v>
      </c>
      <c r="G31" s="313">
        <v>69.900000000000006</v>
      </c>
    </row>
    <row r="32" spans="1:18">
      <c r="A32" s="42" t="s">
        <v>841</v>
      </c>
      <c r="B32" s="316"/>
      <c r="C32" s="181"/>
      <c r="D32" s="316">
        <v>0</v>
      </c>
      <c r="E32" s="181">
        <v>1.2</v>
      </c>
      <c r="F32" s="181">
        <v>2.4</v>
      </c>
      <c r="G32" s="313">
        <v>2.4</v>
      </c>
    </row>
    <row r="33" spans="1:7">
      <c r="A33" s="42" t="s">
        <v>842</v>
      </c>
      <c r="B33" s="316"/>
      <c r="C33" s="181"/>
      <c r="D33" s="316">
        <v>0</v>
      </c>
      <c r="E33" s="181">
        <v>2.2000000000000002</v>
      </c>
      <c r="F33" s="181">
        <v>4.4000000000000004</v>
      </c>
      <c r="G33" s="313">
        <v>4.4000000000000004</v>
      </c>
    </row>
    <row r="34" spans="1:7">
      <c r="A34" s="42" t="s">
        <v>843</v>
      </c>
      <c r="B34" s="316"/>
      <c r="C34" s="316"/>
      <c r="D34" s="316">
        <v>0</v>
      </c>
      <c r="E34" s="316">
        <v>0</v>
      </c>
      <c r="F34" s="316">
        <v>0</v>
      </c>
      <c r="G34" s="317">
        <v>28.8</v>
      </c>
    </row>
    <row r="35" spans="1:7" ht="23.4" customHeight="1">
      <c r="A35" s="42" t="s">
        <v>836</v>
      </c>
      <c r="B35" s="181"/>
      <c r="C35" s="181"/>
      <c r="D35" s="181">
        <v>1.3</v>
      </c>
      <c r="E35" s="181">
        <v>1.3</v>
      </c>
      <c r="F35" s="181">
        <v>1.3</v>
      </c>
      <c r="G35" s="313">
        <v>1.4</v>
      </c>
    </row>
    <row r="36" spans="1:7" ht="13.8" thickBot="1">
      <c r="A36" s="310" t="s">
        <v>282</v>
      </c>
      <c r="B36" s="314"/>
      <c r="C36" s="314"/>
      <c r="D36" s="314">
        <v>29.3</v>
      </c>
      <c r="E36" s="314">
        <v>67.099999999999994</v>
      </c>
      <c r="F36" s="314">
        <v>73.400000000000006</v>
      </c>
      <c r="G36" s="315">
        <v>106.9</v>
      </c>
    </row>
    <row r="37" spans="1:7" ht="13.8" thickTop="1">
      <c r="A37" s="121" t="s">
        <v>1155</v>
      </c>
      <c r="B37" s="121"/>
      <c r="C37" s="121"/>
      <c r="D37" s="121"/>
      <c r="E37" s="121"/>
      <c r="F37" s="121"/>
      <c r="G37" s="122"/>
    </row>
    <row r="38" spans="1:7">
      <c r="A38" s="124" t="s">
        <v>1156</v>
      </c>
      <c r="B38" s="124"/>
      <c r="C38" s="124"/>
      <c r="D38" s="124"/>
      <c r="E38" s="124"/>
      <c r="F38" s="124"/>
      <c r="G38" s="124"/>
    </row>
    <row r="39" spans="1:7">
      <c r="A39" s="124" t="s">
        <v>1157</v>
      </c>
      <c r="B39" s="124"/>
      <c r="C39" s="124"/>
      <c r="D39" s="124"/>
      <c r="E39" s="124"/>
      <c r="F39" s="124"/>
      <c r="G39" s="124"/>
    </row>
    <row r="40" spans="1:7">
      <c r="A40" s="28"/>
      <c r="B40" s="28"/>
      <c r="C40" s="28"/>
      <c r="D40" s="28"/>
      <c r="E40" s="28"/>
      <c r="F40" s="28"/>
      <c r="G40" s="28"/>
    </row>
    <row r="41" spans="1:7">
      <c r="A41" s="530" t="s">
        <v>213</v>
      </c>
      <c r="B41" s="530"/>
      <c r="C41" s="530"/>
      <c r="D41" s="530"/>
      <c r="E41" s="530"/>
      <c r="F41" s="530"/>
      <c r="G41" s="20"/>
    </row>
  </sheetData>
  <sheetProtection password="CAF1" sheet="1" formatCells="0" formatColumns="0" formatRows="0" insertColumns="0" insertRows="0" insertHyperlinks="0" deleteColumns="0" deleteRows="0" sort="0" autoFilter="0" pivotTables="0"/>
  <mergeCells count="4">
    <mergeCell ref="A41:F41"/>
    <mergeCell ref="D3:G3"/>
    <mergeCell ref="D21:G21"/>
    <mergeCell ref="A19:G19"/>
  </mergeCells>
  <phoneticPr fontId="24" type="noConversion"/>
  <hyperlinks>
    <hyperlink ref="A41:F41"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26.xml><?xml version="1.0" encoding="utf-8"?>
<worksheet xmlns="http://schemas.openxmlformats.org/spreadsheetml/2006/main" xmlns:r="http://schemas.openxmlformats.org/officeDocument/2006/relationships">
  <dimension ref="A1:F95"/>
  <sheetViews>
    <sheetView zoomScaleNormal="100" zoomScaleSheetLayoutView="100" workbookViewId="0"/>
  </sheetViews>
  <sheetFormatPr defaultColWidth="0" defaultRowHeight="13.2" zeroHeight="1"/>
  <cols>
    <col min="1" max="1" width="56.109375" style="2" customWidth="1"/>
    <col min="2" max="5" width="8.5546875" style="2" customWidth="1"/>
    <col min="6" max="6" width="10.33203125" style="2" customWidth="1"/>
    <col min="7" max="16384" width="0" style="2" hidden="1"/>
  </cols>
  <sheetData>
    <row r="1" spans="1:6" ht="15" customHeight="1">
      <c r="A1" s="48" t="s">
        <v>1158</v>
      </c>
      <c r="B1" s="338"/>
      <c r="C1" s="338"/>
      <c r="D1" s="338"/>
      <c r="E1" s="338"/>
      <c r="F1" s="338"/>
    </row>
    <row r="2" spans="1:6" ht="22.2" customHeight="1">
      <c r="A2" s="620" t="s">
        <v>191</v>
      </c>
      <c r="B2" s="620"/>
      <c r="C2" s="620"/>
      <c r="D2" s="620"/>
      <c r="E2" s="620"/>
      <c r="F2" s="620"/>
    </row>
    <row r="3" spans="1:6" ht="214.5" customHeight="1">
      <c r="A3" s="339"/>
      <c r="B3" s="340"/>
      <c r="C3" s="340"/>
      <c r="D3" s="340"/>
      <c r="E3" s="340"/>
      <c r="F3" s="340"/>
    </row>
    <row r="4" spans="1:6">
      <c r="A4" s="340"/>
      <c r="B4" s="340"/>
      <c r="C4" s="340"/>
      <c r="D4" s="340"/>
      <c r="E4" s="340"/>
      <c r="F4" s="340"/>
    </row>
    <row r="5" spans="1:6" ht="24.6" customHeight="1">
      <c r="A5" s="251" t="s">
        <v>1159</v>
      </c>
      <c r="B5" s="340"/>
      <c r="C5" s="340"/>
      <c r="D5" s="340"/>
      <c r="E5" s="340"/>
      <c r="F5" s="340"/>
    </row>
    <row r="6" spans="1:6">
      <c r="A6" s="341"/>
      <c r="B6" s="630" t="s">
        <v>671</v>
      </c>
      <c r="C6" s="630"/>
      <c r="D6" s="630"/>
      <c r="E6" s="630"/>
      <c r="F6" s="630"/>
    </row>
    <row r="7" spans="1:6">
      <c r="A7" s="341"/>
      <c r="B7" s="328">
        <v>2006</v>
      </c>
      <c r="C7" s="328">
        <v>2007</v>
      </c>
      <c r="D7" s="328">
        <v>2008</v>
      </c>
      <c r="E7" s="328">
        <v>2009</v>
      </c>
      <c r="F7" s="328">
        <v>2010</v>
      </c>
    </row>
    <row r="8" spans="1:6">
      <c r="A8" s="50"/>
      <c r="B8" s="533" t="s">
        <v>849</v>
      </c>
      <c r="C8" s="533"/>
      <c r="D8" s="533"/>
      <c r="E8" s="533"/>
      <c r="F8" s="533"/>
    </row>
    <row r="9" spans="1:6">
      <c r="A9" s="124" t="s">
        <v>846</v>
      </c>
      <c r="B9" s="81">
        <v>356033</v>
      </c>
      <c r="C9" s="81">
        <v>399452</v>
      </c>
      <c r="D9" s="81">
        <v>474268</v>
      </c>
      <c r="E9" s="81">
        <v>494931</v>
      </c>
      <c r="F9" s="81">
        <v>614702</v>
      </c>
    </row>
    <row r="10" spans="1:6">
      <c r="A10" s="124" t="s">
        <v>1160</v>
      </c>
      <c r="B10" s="81">
        <v>845867</v>
      </c>
      <c r="C10" s="81">
        <v>873410</v>
      </c>
      <c r="D10" s="81">
        <v>1260645</v>
      </c>
      <c r="E10" s="81">
        <v>1105453</v>
      </c>
      <c r="F10" s="81">
        <v>1099225</v>
      </c>
    </row>
    <row r="11" spans="1:6">
      <c r="A11" s="124" t="s">
        <v>775</v>
      </c>
      <c r="B11" s="81">
        <v>209719</v>
      </c>
      <c r="C11" s="81">
        <v>269645</v>
      </c>
      <c r="D11" s="81">
        <v>356514</v>
      </c>
      <c r="E11" s="81">
        <v>371152</v>
      </c>
      <c r="F11" s="81">
        <v>450137</v>
      </c>
    </row>
    <row r="12" spans="1:6">
      <c r="A12" s="342" t="s">
        <v>282</v>
      </c>
      <c r="B12" s="318">
        <v>1411619</v>
      </c>
      <c r="C12" s="318">
        <v>1542507</v>
      </c>
      <c r="D12" s="318">
        <v>2091427</v>
      </c>
      <c r="E12" s="318">
        <f>E9+E11+E10</f>
        <v>1971536</v>
      </c>
      <c r="F12" s="318">
        <f>F9+F11+F10</f>
        <v>2164064</v>
      </c>
    </row>
    <row r="13" spans="1:6">
      <c r="A13" s="341"/>
      <c r="B13" s="533" t="s">
        <v>850</v>
      </c>
      <c r="C13" s="533"/>
      <c r="D13" s="533"/>
      <c r="E13" s="533"/>
      <c r="F13" s="533"/>
    </row>
    <row r="14" spans="1:6">
      <c r="A14" s="124" t="s">
        <v>846</v>
      </c>
      <c r="B14" s="81">
        <f>ROUND(B9/Macroeconomics!D$9,0)</f>
        <v>13522</v>
      </c>
      <c r="C14" s="81">
        <f>ROUNDDOWN(C9/Macroeconomics!E$9,0)</f>
        <v>16270</v>
      </c>
      <c r="D14" s="81">
        <f>ROUNDDOWN(D9/Macroeconomics!F$9,0)</f>
        <v>16142</v>
      </c>
      <c r="E14" s="81">
        <f>ROUNDDOWN(E9/Macroeconomics!G$9,0)</f>
        <v>16366</v>
      </c>
      <c r="F14" s="81">
        <f>ROUND(F9/Macroeconomics!H$9,0)</f>
        <v>20167</v>
      </c>
    </row>
    <row r="15" spans="1:6">
      <c r="A15" s="124" t="s">
        <v>1160</v>
      </c>
      <c r="B15" s="81">
        <f>ROUND(B10/Macroeconomics!D$9,0)</f>
        <v>32126</v>
      </c>
      <c r="C15" s="81">
        <f>ROUND(C10/Macroeconomics!E$9,0)</f>
        <v>35577</v>
      </c>
      <c r="D15" s="81">
        <f>ROUND(D10/Macroeconomics!F$9,0)</f>
        <v>42908</v>
      </c>
      <c r="E15" s="81">
        <f>ROUND(E10/Macroeconomics!G$9,0)</f>
        <v>36556</v>
      </c>
      <c r="F15" s="81">
        <f>ROUND(F10/Macroeconomics!H$9,0)</f>
        <v>36064</v>
      </c>
    </row>
    <row r="16" spans="1:6">
      <c r="A16" s="124" t="s">
        <v>775</v>
      </c>
      <c r="B16" s="81">
        <f>ROUND(B11/Macroeconomics!D$9,0)</f>
        <v>7965</v>
      </c>
      <c r="C16" s="81">
        <f>ROUND(C11/Macroeconomics!E$9,0)</f>
        <v>10984</v>
      </c>
      <c r="D16" s="81">
        <f>ROUND(D11/Macroeconomics!F$9,0)</f>
        <v>12135</v>
      </c>
      <c r="E16" s="81">
        <f>ROUND(E11/Macroeconomics!G$9,0)</f>
        <v>12274</v>
      </c>
      <c r="F16" s="81">
        <f>ROUND(F11/Macroeconomics!H$9,0)</f>
        <v>14768</v>
      </c>
    </row>
    <row r="17" spans="1:6">
      <c r="A17" s="342" t="s">
        <v>282</v>
      </c>
      <c r="B17" s="318">
        <f>ROUND(B12/Macroeconomics!D$9,0)</f>
        <v>53613</v>
      </c>
      <c r="C17" s="318">
        <f>ROUND(C12/Macroeconomics!E$9,0)</f>
        <v>62831</v>
      </c>
      <c r="D17" s="318">
        <f>ROUND(D12/Macroeconomics!F$9,0)</f>
        <v>71185</v>
      </c>
      <c r="E17" s="318">
        <f>ROUND(E12/Macroeconomics!G$9,0)</f>
        <v>65196</v>
      </c>
      <c r="F17" s="318">
        <f>ROUND(F12/Macroeconomics!H$9,0)</f>
        <v>70999</v>
      </c>
    </row>
    <row r="18" spans="1:6">
      <c r="A18" s="341"/>
      <c r="B18" s="533" t="s">
        <v>851</v>
      </c>
      <c r="C18" s="533"/>
      <c r="D18" s="533"/>
      <c r="E18" s="533"/>
      <c r="F18" s="533"/>
    </row>
    <row r="19" spans="1:6">
      <c r="A19" s="124" t="s">
        <v>846</v>
      </c>
      <c r="B19" s="81">
        <f>ROUND(B9/Macroeconomics!D$13,0)</f>
        <v>10260</v>
      </c>
      <c r="C19" s="81">
        <f>ROUNDDOWN(C9/Macroeconomics!E$13,0)</f>
        <v>11117</v>
      </c>
      <c r="D19" s="81">
        <f>ROUND(D9/Macroeconomics!F$13,0)</f>
        <v>11445</v>
      </c>
      <c r="E19" s="81">
        <f>ROUND(E9/Macroeconomics!G$13,0)</f>
        <v>11407</v>
      </c>
      <c r="F19" s="81">
        <f>ROUND(F9/Macroeconomics!H$13,0)</f>
        <v>15242</v>
      </c>
    </row>
    <row r="20" spans="1:6">
      <c r="A20" s="124" t="s">
        <v>1160</v>
      </c>
      <c r="B20" s="81">
        <f>ROUND(B10/Macroeconomics!D$13,0)</f>
        <v>24377</v>
      </c>
      <c r="C20" s="81">
        <f>ROUND(C10/Macroeconomics!E$13,0)</f>
        <v>24309</v>
      </c>
      <c r="D20" s="81">
        <f>ROUND(D10/Macroeconomics!F$13,0)</f>
        <v>30421</v>
      </c>
      <c r="E20" s="81">
        <f>ROUND(E10/Macroeconomics!G$13,0)</f>
        <v>25477</v>
      </c>
      <c r="F20" s="81">
        <f>ROUND(F10/Macroeconomics!H$13,0)</f>
        <v>27256</v>
      </c>
    </row>
    <row r="21" spans="1:6">
      <c r="A21" s="124" t="s">
        <v>775</v>
      </c>
      <c r="B21" s="81">
        <f>ROUND(B11/Macroeconomics!D$13,0)</f>
        <v>6044</v>
      </c>
      <c r="C21" s="81">
        <f>ROUND(C11/Macroeconomics!E$13,0)</f>
        <v>7505</v>
      </c>
      <c r="D21" s="81">
        <f>ROUND(D11/Macroeconomics!F$13,0)</f>
        <v>8603</v>
      </c>
      <c r="E21" s="81">
        <f>ROUND(E11/Macroeconomics!G$13,0)</f>
        <v>8554</v>
      </c>
      <c r="F21" s="81">
        <f>ROUND(F11/Macroeconomics!H$13,0)</f>
        <v>11161</v>
      </c>
    </row>
    <row r="22" spans="1:6" ht="13.8" thickBot="1">
      <c r="A22" s="342" t="s">
        <v>282</v>
      </c>
      <c r="B22" s="320">
        <f>ROUND(B12/Macroeconomics!D$13,0)</f>
        <v>40681</v>
      </c>
      <c r="C22" s="320">
        <f>ROUND(C12/Macroeconomics!E$13,0)</f>
        <v>42931</v>
      </c>
      <c r="D22" s="320">
        <f>ROUND(D12/Macroeconomics!F$13,0)</f>
        <v>50469</v>
      </c>
      <c r="E22" s="320">
        <f>ROUND(E12/Macroeconomics!G$13,0)</f>
        <v>45438</v>
      </c>
      <c r="F22" s="320">
        <f>ROUND(F12/Macroeconomics!H$13,0)</f>
        <v>53659</v>
      </c>
    </row>
    <row r="23" spans="1:6" ht="15" customHeight="1" thickTop="1">
      <c r="A23" s="619" t="s">
        <v>1161</v>
      </c>
      <c r="B23" s="619"/>
      <c r="C23" s="619"/>
      <c r="D23" s="619"/>
      <c r="E23" s="619"/>
      <c r="F23" s="619"/>
    </row>
    <row r="24" spans="1:6" ht="12.75" customHeight="1">
      <c r="A24" s="97" t="s">
        <v>848</v>
      </c>
      <c r="B24" s="97"/>
      <c r="C24" s="97"/>
      <c r="D24" s="97"/>
      <c r="E24" s="97"/>
      <c r="F24" s="97"/>
    </row>
    <row r="25" spans="1:6" ht="28.2" customHeight="1">
      <c r="A25" s="251" t="s">
        <v>1162</v>
      </c>
      <c r="B25" s="340"/>
      <c r="C25" s="340"/>
      <c r="D25" s="340"/>
      <c r="E25" s="340"/>
      <c r="F25" s="340"/>
    </row>
    <row r="26" spans="1:6">
      <c r="A26" s="343"/>
      <c r="B26" s="533" t="s">
        <v>671</v>
      </c>
      <c r="C26" s="533"/>
      <c r="D26" s="533"/>
      <c r="E26" s="533"/>
      <c r="F26" s="533"/>
    </row>
    <row r="27" spans="1:6">
      <c r="A27" s="343"/>
      <c r="B27" s="328">
        <v>2006</v>
      </c>
      <c r="C27" s="328">
        <v>2007</v>
      </c>
      <c r="D27" s="328">
        <v>2008</v>
      </c>
      <c r="E27" s="328">
        <v>2009</v>
      </c>
      <c r="F27" s="328">
        <v>2010</v>
      </c>
    </row>
    <row r="28" spans="1:6" ht="12" customHeight="1">
      <c r="A28" s="342" t="s">
        <v>846</v>
      </c>
      <c r="B28" s="321"/>
      <c r="C28" s="321"/>
      <c r="D28" s="321"/>
      <c r="E28" s="321"/>
      <c r="F28" s="321"/>
    </row>
    <row r="29" spans="1:6">
      <c r="A29" s="97" t="s">
        <v>852</v>
      </c>
      <c r="B29" s="322">
        <v>1125.4000000000001</v>
      </c>
      <c r="C29" s="322">
        <v>1301.0999999999999</v>
      </c>
      <c r="D29" s="322">
        <v>1652.8</v>
      </c>
      <c r="E29" s="322">
        <v>1885</v>
      </c>
      <c r="F29" s="322">
        <v>2345.5</v>
      </c>
    </row>
    <row r="30" spans="1:6">
      <c r="A30" s="97" t="s">
        <v>853</v>
      </c>
      <c r="B30" s="322">
        <f>ROUND(B29/Macroeconomics!D$9,1)</f>
        <v>42.7</v>
      </c>
      <c r="C30" s="322">
        <f>ROUND(C29/Macroeconomics!E$9,1)</f>
        <v>53</v>
      </c>
      <c r="D30" s="322">
        <f>ROUND(D29/Macroeconomics!F$9,1)</f>
        <v>56.3</v>
      </c>
      <c r="E30" s="322">
        <f>ROUND(E29/Macroeconomics!G$9,1)</f>
        <v>62.3</v>
      </c>
      <c r="F30" s="322">
        <f>ROUND(F29/Macroeconomics!H$9,1)</f>
        <v>77</v>
      </c>
    </row>
    <row r="31" spans="1:6">
      <c r="A31" s="74" t="s">
        <v>854</v>
      </c>
      <c r="B31" s="323">
        <f>ROUND(B29/Macroeconomics!D$13,1)</f>
        <v>32.4</v>
      </c>
      <c r="C31" s="323">
        <f>ROUND(C29/Macroeconomics!E$13,1)</f>
        <v>36.200000000000003</v>
      </c>
      <c r="D31" s="323">
        <f>ROUND(D29/Macroeconomics!F$13,1)</f>
        <v>39.9</v>
      </c>
      <c r="E31" s="323">
        <f>ROUND(E29/Macroeconomics!G$13,1)</f>
        <v>43.4</v>
      </c>
      <c r="F31" s="323">
        <f>ROUND(F29/Macroeconomics!H$13,1)</f>
        <v>58.2</v>
      </c>
    </row>
    <row r="32" spans="1:6" ht="12.75" customHeight="1">
      <c r="A32" s="342" t="s">
        <v>847</v>
      </c>
      <c r="B32" s="321"/>
      <c r="C32" s="321"/>
      <c r="D32" s="321"/>
      <c r="E32" s="321"/>
      <c r="F32" s="321"/>
    </row>
    <row r="33" spans="1:6">
      <c r="A33" s="97" t="s">
        <v>852</v>
      </c>
      <c r="B33" s="322">
        <v>5238.5</v>
      </c>
      <c r="C33" s="322">
        <v>5181.8999999999996</v>
      </c>
      <c r="D33" s="322">
        <v>7521.5</v>
      </c>
      <c r="E33" s="322">
        <v>7452.1</v>
      </c>
      <c r="F33" s="322">
        <v>7420.7</v>
      </c>
    </row>
    <row r="34" spans="1:6">
      <c r="A34" s="97" t="s">
        <v>853</v>
      </c>
      <c r="B34" s="322">
        <f>ROUND(B33/Macroeconomics!D$9,1)</f>
        <v>199</v>
      </c>
      <c r="C34" s="322">
        <f>ROUND(C33/Macroeconomics!E$9,1)</f>
        <v>211.1</v>
      </c>
      <c r="D34" s="322">
        <f>ROUND(D33/Macroeconomics!F$9,1)</f>
        <v>256</v>
      </c>
      <c r="E34" s="322">
        <f>ROUND(E33/Macroeconomics!G$9,1)</f>
        <v>246.4</v>
      </c>
      <c r="F34" s="322">
        <f>ROUND(F33/Macroeconomics!H$9,1)</f>
        <v>243.5</v>
      </c>
    </row>
    <row r="35" spans="1:6" ht="13.8" thickBot="1">
      <c r="A35" s="344" t="s">
        <v>854</v>
      </c>
      <c r="B35" s="324">
        <f>ROUND(B33/Macroeconomics!D$13,1)</f>
        <v>151</v>
      </c>
      <c r="C35" s="324">
        <f>ROUND(C33/Macroeconomics!E$13,1)</f>
        <v>144.19999999999999</v>
      </c>
      <c r="D35" s="324">
        <f>ROUND(D33/Macroeconomics!F$13,1)</f>
        <v>181.5</v>
      </c>
      <c r="E35" s="324">
        <f>ROUND(E33/Macroeconomics!G$13,1)</f>
        <v>171.7</v>
      </c>
      <c r="F35" s="324">
        <f>ROUND(F33/Macroeconomics!H$13,1)</f>
        <v>184</v>
      </c>
    </row>
    <row r="36" spans="1:6" ht="12.75" customHeight="1" thickTop="1">
      <c r="A36" s="345" t="s">
        <v>775</v>
      </c>
      <c r="B36" s="326"/>
      <c r="C36" s="326"/>
      <c r="D36" s="326"/>
      <c r="E36" s="326"/>
      <c r="F36" s="326"/>
    </row>
    <row r="37" spans="1:6">
      <c r="A37" s="74" t="s">
        <v>852</v>
      </c>
      <c r="B37" s="323">
        <v>2077.4</v>
      </c>
      <c r="C37" s="323">
        <v>2672.9</v>
      </c>
      <c r="D37" s="323">
        <v>3693.9</v>
      </c>
      <c r="E37" s="323">
        <v>5483.7</v>
      </c>
      <c r="F37" s="323">
        <v>6416.5</v>
      </c>
    </row>
    <row r="38" spans="1:6">
      <c r="A38" s="74" t="s">
        <v>853</v>
      </c>
      <c r="B38" s="323">
        <f>ROUND(B37/Macroeconomics!D$9,1)</f>
        <v>78.900000000000006</v>
      </c>
      <c r="C38" s="323">
        <f>ROUND(C37/Macroeconomics!E$9,1)</f>
        <v>108.9</v>
      </c>
      <c r="D38" s="323">
        <f>ROUND(D37/Macroeconomics!F$9,1)</f>
        <v>125.7</v>
      </c>
      <c r="E38" s="323">
        <f>ROUND(E37/Macroeconomics!G$9,1)</f>
        <v>181.3</v>
      </c>
      <c r="F38" s="323">
        <f>ROUND(F37/Macroeconomics!H$9,1)</f>
        <v>210.5</v>
      </c>
    </row>
    <row r="39" spans="1:6" ht="13.8" thickBot="1">
      <c r="A39" s="346" t="s">
        <v>854</v>
      </c>
      <c r="B39" s="327">
        <f>ROUND(B37/Macroeconomics!D$13,1)</f>
        <v>59.9</v>
      </c>
      <c r="C39" s="327">
        <f>ROUND(C37/Macroeconomics!E$13,1)</f>
        <v>74.400000000000006</v>
      </c>
      <c r="D39" s="327">
        <f>ROUND(D37/Macroeconomics!F$13,1)</f>
        <v>89.1</v>
      </c>
      <c r="E39" s="327">
        <f>ROUND(E37/Macroeconomics!G$13,1)</f>
        <v>126.4</v>
      </c>
      <c r="F39" s="327">
        <f>ROUND(F37/Macroeconomics!H$13,1)</f>
        <v>159.1</v>
      </c>
    </row>
    <row r="40" spans="1:6" ht="13.8" thickTop="1">
      <c r="A40" s="619" t="s">
        <v>855</v>
      </c>
      <c r="B40" s="619"/>
      <c r="C40" s="619"/>
      <c r="D40" s="619"/>
      <c r="E40" s="619"/>
      <c r="F40" s="619"/>
    </row>
    <row r="41" spans="1:6" ht="27" customHeight="1">
      <c r="A41" s="256" t="s">
        <v>856</v>
      </c>
      <c r="B41" s="340"/>
      <c r="C41" s="340"/>
      <c r="D41" s="340"/>
      <c r="E41" s="340"/>
      <c r="F41" s="340"/>
    </row>
    <row r="42" spans="1:6">
      <c r="A42" s="328"/>
      <c r="B42" s="630" t="s">
        <v>671</v>
      </c>
      <c r="C42" s="630"/>
      <c r="D42" s="630"/>
      <c r="E42" s="630"/>
      <c r="F42" s="630"/>
    </row>
    <row r="43" spans="1:6">
      <c r="A43" s="328"/>
      <c r="B43" s="328">
        <v>2006</v>
      </c>
      <c r="C43" s="328">
        <v>2007</v>
      </c>
      <c r="D43" s="328">
        <v>2008</v>
      </c>
      <c r="E43" s="328">
        <v>2009</v>
      </c>
      <c r="F43" s="328">
        <v>2010</v>
      </c>
    </row>
    <row r="44" spans="1:6">
      <c r="A44" s="347"/>
      <c r="B44" s="533" t="s">
        <v>321</v>
      </c>
      <c r="C44" s="533"/>
      <c r="D44" s="533"/>
      <c r="E44" s="533"/>
      <c r="F44" s="533"/>
    </row>
    <row r="45" spans="1:6" ht="13.8" thickBot="1">
      <c r="A45" s="348" t="s">
        <v>857</v>
      </c>
      <c r="B45" s="329">
        <v>316.3</v>
      </c>
      <c r="C45" s="329">
        <v>307</v>
      </c>
      <c r="D45" s="329">
        <v>287</v>
      </c>
      <c r="E45" s="329">
        <v>262.60000000000002</v>
      </c>
      <c r="F45" s="329">
        <v>262.10000000000002</v>
      </c>
    </row>
    <row r="46" spans="1:6">
      <c r="A46" s="345" t="s">
        <v>889</v>
      </c>
      <c r="B46" s="330"/>
      <c r="C46" s="330"/>
      <c r="D46" s="330"/>
      <c r="E46" s="330"/>
      <c r="F46" s="330"/>
    </row>
    <row r="47" spans="1:6">
      <c r="A47" s="74" t="s">
        <v>858</v>
      </c>
      <c r="B47" s="331">
        <v>6.6</v>
      </c>
      <c r="C47" s="331">
        <v>5.4</v>
      </c>
      <c r="D47" s="331">
        <v>5.8</v>
      </c>
      <c r="E47" s="331">
        <v>5.4</v>
      </c>
      <c r="F47" s="331">
        <v>5.6</v>
      </c>
    </row>
    <row r="48" spans="1:6">
      <c r="A48" s="74" t="s">
        <v>859</v>
      </c>
      <c r="B48" s="331">
        <v>3.2</v>
      </c>
      <c r="C48" s="331">
        <v>4.3</v>
      </c>
      <c r="D48" s="331">
        <v>3.4</v>
      </c>
      <c r="E48" s="331">
        <v>0.5</v>
      </c>
      <c r="F48" s="331">
        <v>0.5</v>
      </c>
    </row>
    <row r="49" spans="1:6">
      <c r="A49" s="74" t="s">
        <v>860</v>
      </c>
      <c r="B49" s="331">
        <v>4.9000000000000004</v>
      </c>
      <c r="C49" s="331">
        <v>4.7</v>
      </c>
      <c r="D49" s="331">
        <v>4.8</v>
      </c>
      <c r="E49" s="331">
        <v>4.4000000000000004</v>
      </c>
      <c r="F49" s="331">
        <v>4.8</v>
      </c>
    </row>
    <row r="50" spans="1:6">
      <c r="A50" s="74" t="s">
        <v>861</v>
      </c>
      <c r="B50" s="331">
        <v>10</v>
      </c>
      <c r="C50" s="331">
        <v>10.1</v>
      </c>
      <c r="D50" s="331">
        <v>10.4</v>
      </c>
      <c r="E50" s="331">
        <v>8.3000000000000007</v>
      </c>
      <c r="F50" s="331">
        <v>8.9</v>
      </c>
    </row>
    <row r="51" spans="1:6">
      <c r="A51" s="74" t="s">
        <v>779</v>
      </c>
      <c r="B51" s="331">
        <v>34.4</v>
      </c>
      <c r="C51" s="331">
        <v>34.5</v>
      </c>
      <c r="D51" s="331">
        <v>37.9</v>
      </c>
      <c r="E51" s="331">
        <v>33.5</v>
      </c>
      <c r="F51" s="331">
        <v>35.299999999999997</v>
      </c>
    </row>
    <row r="52" spans="1:6">
      <c r="A52" s="74" t="s">
        <v>862</v>
      </c>
      <c r="B52" s="331">
        <v>2.7</v>
      </c>
      <c r="C52" s="331">
        <v>3.1</v>
      </c>
      <c r="D52" s="331">
        <v>2.8</v>
      </c>
      <c r="E52" s="331">
        <v>2.1</v>
      </c>
      <c r="F52" s="331">
        <v>2.1</v>
      </c>
    </row>
    <row r="53" spans="1:6">
      <c r="A53" s="74" t="s">
        <v>863</v>
      </c>
      <c r="B53" s="331">
        <v>22.1</v>
      </c>
      <c r="C53" s="331">
        <v>22</v>
      </c>
      <c r="D53" s="331">
        <v>22.4</v>
      </c>
      <c r="E53" s="331">
        <v>19.100000000000001</v>
      </c>
      <c r="F53" s="331">
        <v>13.1</v>
      </c>
    </row>
    <row r="54" spans="1:6">
      <c r="A54" s="74" t="s">
        <v>864</v>
      </c>
      <c r="B54" s="331">
        <v>0.4</v>
      </c>
      <c r="C54" s="331">
        <v>0.4</v>
      </c>
      <c r="D54" s="331">
        <v>0.3</v>
      </c>
      <c r="E54" s="331">
        <v>0.3</v>
      </c>
      <c r="F54" s="331">
        <v>0.3</v>
      </c>
    </row>
    <row r="55" spans="1:6">
      <c r="A55" s="74" t="s">
        <v>865</v>
      </c>
      <c r="B55" s="331">
        <v>4.7</v>
      </c>
      <c r="C55" s="331">
        <v>5.5</v>
      </c>
      <c r="D55" s="331">
        <v>5.3</v>
      </c>
      <c r="E55" s="331">
        <v>4.3</v>
      </c>
      <c r="F55" s="331">
        <v>4.3</v>
      </c>
    </row>
    <row r="56" spans="1:6">
      <c r="A56" s="74" t="s">
        <v>866</v>
      </c>
      <c r="B56" s="331">
        <v>19.899999999999999</v>
      </c>
      <c r="C56" s="331">
        <v>23.4</v>
      </c>
      <c r="D56" s="331">
        <v>23.8</v>
      </c>
      <c r="E56" s="331">
        <v>20</v>
      </c>
      <c r="F56" s="331">
        <v>18</v>
      </c>
    </row>
    <row r="57" spans="1:6">
      <c r="A57" s="74" t="s">
        <v>867</v>
      </c>
      <c r="B57" s="331">
        <v>8.6999999999999993</v>
      </c>
      <c r="C57" s="331">
        <v>15.2</v>
      </c>
      <c r="D57" s="331">
        <v>7.7</v>
      </c>
      <c r="E57" s="331">
        <v>11.9</v>
      </c>
      <c r="F57" s="331">
        <v>10.7</v>
      </c>
    </row>
    <row r="58" spans="1:6">
      <c r="A58" s="74" t="s">
        <v>868</v>
      </c>
      <c r="B58" s="331">
        <v>0.4</v>
      </c>
      <c r="C58" s="331">
        <v>0.3</v>
      </c>
      <c r="D58" s="331">
        <v>0.3</v>
      </c>
      <c r="E58" s="331">
        <v>0.2</v>
      </c>
      <c r="F58" s="331">
        <v>0.2</v>
      </c>
    </row>
    <row r="59" spans="1:6">
      <c r="A59" s="74" t="s">
        <v>869</v>
      </c>
      <c r="B59" s="331">
        <v>2.7</v>
      </c>
      <c r="C59" s="331">
        <v>2.8</v>
      </c>
      <c r="D59" s="331">
        <v>2.9</v>
      </c>
      <c r="E59" s="331">
        <v>2.2000000000000002</v>
      </c>
      <c r="F59" s="331">
        <v>2.2999999999999998</v>
      </c>
    </row>
    <row r="60" spans="1:6">
      <c r="A60" s="74" t="s">
        <v>870</v>
      </c>
      <c r="B60" s="331">
        <v>1.1000000000000001</v>
      </c>
      <c r="C60" s="331">
        <v>1.1000000000000001</v>
      </c>
      <c r="D60" s="331">
        <v>1.2</v>
      </c>
      <c r="E60" s="331">
        <v>1.1000000000000001</v>
      </c>
      <c r="F60" s="331">
        <v>1.1000000000000001</v>
      </c>
    </row>
    <row r="61" spans="1:6">
      <c r="A61" s="74" t="s">
        <v>871</v>
      </c>
      <c r="B61" s="331">
        <v>7.4</v>
      </c>
      <c r="C61" s="331">
        <v>7.2</v>
      </c>
      <c r="D61" s="331">
        <v>7.9</v>
      </c>
      <c r="E61" s="331">
        <v>7</v>
      </c>
      <c r="F61" s="331">
        <v>9</v>
      </c>
    </row>
    <row r="62" spans="1:6">
      <c r="A62" s="74" t="s">
        <v>872</v>
      </c>
      <c r="B62" s="331">
        <v>8.8000000000000007</v>
      </c>
      <c r="C62" s="331">
        <v>7.5</v>
      </c>
      <c r="D62" s="331">
        <v>8.9</v>
      </c>
      <c r="E62" s="331">
        <v>7.6</v>
      </c>
      <c r="F62" s="331">
        <v>6.9</v>
      </c>
    </row>
    <row r="63" spans="1:6">
      <c r="A63" s="74" t="s">
        <v>873</v>
      </c>
      <c r="B63" s="331">
        <v>0.1</v>
      </c>
      <c r="C63" s="331">
        <v>0.1</v>
      </c>
      <c r="D63" s="331">
        <v>0.1</v>
      </c>
      <c r="E63" s="331">
        <v>0.1</v>
      </c>
      <c r="F63" s="331">
        <v>0.1</v>
      </c>
    </row>
    <row r="64" spans="1:6">
      <c r="A64" s="74" t="s">
        <v>874</v>
      </c>
      <c r="B64" s="331">
        <v>7.7</v>
      </c>
      <c r="C64" s="331">
        <v>7</v>
      </c>
      <c r="D64" s="331">
        <v>7.9</v>
      </c>
      <c r="E64" s="331">
        <v>9</v>
      </c>
      <c r="F64" s="331">
        <v>11.8</v>
      </c>
    </row>
    <row r="65" spans="1:6">
      <c r="A65" s="74" t="s">
        <v>875</v>
      </c>
      <c r="B65" s="331">
        <v>5.5</v>
      </c>
      <c r="C65" s="331">
        <v>4.5</v>
      </c>
      <c r="D65" s="331">
        <v>4.2</v>
      </c>
      <c r="E65" s="331">
        <v>2.5</v>
      </c>
      <c r="F65" s="331">
        <v>2.6</v>
      </c>
    </row>
    <row r="66" spans="1:6">
      <c r="A66" s="74" t="s">
        <v>876</v>
      </c>
      <c r="B66" s="331">
        <v>2.1</v>
      </c>
      <c r="C66" s="331">
        <v>2.1</v>
      </c>
      <c r="D66" s="331">
        <v>2.2000000000000002</v>
      </c>
      <c r="E66" s="331">
        <v>1.7</v>
      </c>
      <c r="F66" s="331">
        <v>2.1</v>
      </c>
    </row>
    <row r="67" spans="1:6">
      <c r="A67" s="74" t="s">
        <v>877</v>
      </c>
      <c r="B67" s="331">
        <v>7</v>
      </c>
      <c r="C67" s="331">
        <v>6.2</v>
      </c>
      <c r="D67" s="331">
        <v>6.2</v>
      </c>
      <c r="E67" s="331">
        <v>5.4</v>
      </c>
      <c r="F67" s="331">
        <v>5.8</v>
      </c>
    </row>
    <row r="68" spans="1:6">
      <c r="A68" s="74" t="s">
        <v>878</v>
      </c>
      <c r="B68" s="331">
        <v>0.7</v>
      </c>
      <c r="C68" s="331">
        <v>0.6</v>
      </c>
      <c r="D68" s="331">
        <v>0.6</v>
      </c>
      <c r="E68" s="331">
        <v>0.5</v>
      </c>
      <c r="F68" s="331">
        <v>0.5</v>
      </c>
    </row>
    <row r="69" spans="1:6">
      <c r="A69" s="74" t="s">
        <v>879</v>
      </c>
      <c r="B69" s="331">
        <v>0.4</v>
      </c>
      <c r="C69" s="331">
        <v>0.5</v>
      </c>
      <c r="D69" s="331">
        <v>0.6</v>
      </c>
      <c r="E69" s="331">
        <v>1.2</v>
      </c>
      <c r="F69" s="331">
        <v>2.1</v>
      </c>
    </row>
    <row r="70" spans="1:6" ht="13.8" thickBot="1">
      <c r="A70" s="349" t="s">
        <v>715</v>
      </c>
      <c r="B70" s="332">
        <v>161.5</v>
      </c>
      <c r="C70" s="332">
        <v>168.5</v>
      </c>
      <c r="D70" s="332">
        <v>167.6</v>
      </c>
      <c r="E70" s="332">
        <f>SUM(E47:E69)</f>
        <v>148.29999999999998</v>
      </c>
      <c r="F70" s="332">
        <f>SUM(F47:F69)</f>
        <v>148.1</v>
      </c>
    </row>
    <row r="71" spans="1:6">
      <c r="A71" s="342" t="s">
        <v>890</v>
      </c>
      <c r="B71" s="333"/>
      <c r="C71" s="333"/>
      <c r="D71" s="333"/>
      <c r="E71" s="333"/>
      <c r="F71" s="333"/>
    </row>
    <row r="72" spans="1:6">
      <c r="A72" s="97" t="s">
        <v>880</v>
      </c>
      <c r="B72" s="334">
        <v>1.7</v>
      </c>
      <c r="C72" s="334">
        <v>1.9</v>
      </c>
      <c r="D72" s="334">
        <v>2.1</v>
      </c>
      <c r="E72" s="334">
        <v>1.7</v>
      </c>
      <c r="F72" s="334">
        <v>1.4</v>
      </c>
    </row>
    <row r="73" spans="1:6">
      <c r="A73" s="97" t="s">
        <v>881</v>
      </c>
      <c r="B73" s="334">
        <v>4</v>
      </c>
      <c r="C73" s="334">
        <v>0</v>
      </c>
      <c r="D73" s="334">
        <v>0</v>
      </c>
      <c r="E73" s="334">
        <v>0</v>
      </c>
      <c r="F73" s="334">
        <v>0</v>
      </c>
    </row>
    <row r="74" spans="1:6">
      <c r="A74" s="97" t="s">
        <v>882</v>
      </c>
      <c r="B74" s="334">
        <v>20.5</v>
      </c>
      <c r="C74" s="334">
        <v>20.6</v>
      </c>
      <c r="D74" s="334">
        <v>21.1</v>
      </c>
      <c r="E74" s="334">
        <v>17.600000000000001</v>
      </c>
      <c r="F74" s="334">
        <v>21.6</v>
      </c>
    </row>
    <row r="75" spans="1:6">
      <c r="A75" s="97" t="s">
        <v>883</v>
      </c>
      <c r="B75" s="334">
        <v>0.7</v>
      </c>
      <c r="C75" s="334">
        <v>0.9</v>
      </c>
      <c r="D75" s="334">
        <v>0.6</v>
      </c>
      <c r="E75" s="334">
        <v>0.8</v>
      </c>
      <c r="F75" s="334">
        <v>0.4</v>
      </c>
    </row>
    <row r="76" spans="1:6">
      <c r="A76" s="97" t="s">
        <v>884</v>
      </c>
      <c r="B76" s="334">
        <v>1.9</v>
      </c>
      <c r="C76" s="334">
        <v>1.2</v>
      </c>
      <c r="D76" s="334">
        <v>0.7</v>
      </c>
      <c r="E76" s="334">
        <v>0.1</v>
      </c>
      <c r="F76" s="334">
        <v>0.2</v>
      </c>
    </row>
    <row r="77" spans="1:6">
      <c r="A77" s="97" t="s">
        <v>885</v>
      </c>
      <c r="B77" s="334">
        <v>6.5</v>
      </c>
      <c r="C77" s="334">
        <v>10</v>
      </c>
      <c r="D77" s="334">
        <v>9.6</v>
      </c>
      <c r="E77" s="334">
        <v>3.1</v>
      </c>
      <c r="F77" s="334">
        <v>3.4</v>
      </c>
    </row>
    <row r="78" spans="1:6">
      <c r="A78" s="97" t="s">
        <v>776</v>
      </c>
      <c r="B78" s="334">
        <v>1.4</v>
      </c>
      <c r="C78" s="334">
        <v>1</v>
      </c>
      <c r="D78" s="334">
        <v>0.7</v>
      </c>
      <c r="E78" s="334">
        <v>1.1000000000000001</v>
      </c>
      <c r="F78" s="334">
        <v>0.7</v>
      </c>
    </row>
    <row r="79" spans="1:6">
      <c r="A79" s="97" t="s">
        <v>886</v>
      </c>
      <c r="B79" s="334">
        <v>2.8</v>
      </c>
      <c r="C79" s="334">
        <v>3.4</v>
      </c>
      <c r="D79" s="334">
        <v>2.8</v>
      </c>
      <c r="E79" s="334">
        <v>2.5</v>
      </c>
      <c r="F79" s="334">
        <v>2.8</v>
      </c>
    </row>
    <row r="80" spans="1:6">
      <c r="A80" s="97" t="s">
        <v>887</v>
      </c>
      <c r="B80" s="334">
        <v>2.5</v>
      </c>
      <c r="C80" s="334">
        <v>2.7</v>
      </c>
      <c r="D80" s="334">
        <v>2.7</v>
      </c>
      <c r="E80" s="334">
        <v>3</v>
      </c>
      <c r="F80" s="334">
        <v>3.2</v>
      </c>
    </row>
    <row r="81" spans="1:6">
      <c r="A81" s="97" t="s">
        <v>888</v>
      </c>
      <c r="B81" s="334">
        <v>59</v>
      </c>
      <c r="C81" s="334">
        <v>59.2</v>
      </c>
      <c r="D81" s="334">
        <v>56.2</v>
      </c>
      <c r="E81" s="334">
        <v>37.799999999999997</v>
      </c>
      <c r="F81" s="334">
        <v>36.5</v>
      </c>
    </row>
    <row r="82" spans="1:6" ht="13.8" thickBot="1">
      <c r="A82" s="349" t="s">
        <v>715</v>
      </c>
      <c r="B82" s="332">
        <v>101</v>
      </c>
      <c r="C82" s="332">
        <v>100.9</v>
      </c>
      <c r="D82" s="332">
        <v>96.5</v>
      </c>
      <c r="E82" s="332">
        <f>SUM(E72:E81)</f>
        <v>67.7</v>
      </c>
      <c r="F82" s="332">
        <f>SUM(F72:F81)</f>
        <v>70.199999999999989</v>
      </c>
    </row>
    <row r="83" spans="1:6" ht="13.8" thickBot="1">
      <c r="A83" s="350" t="s">
        <v>715</v>
      </c>
      <c r="B83" s="335">
        <v>578.79999999999995</v>
      </c>
      <c r="C83" s="335">
        <v>576.4</v>
      </c>
      <c r="D83" s="335">
        <v>551.1</v>
      </c>
      <c r="E83" s="335">
        <f>E45+E70+E82</f>
        <v>478.59999999999997</v>
      </c>
      <c r="F83" s="335">
        <f>F45+F70+F82</f>
        <v>480.40000000000003</v>
      </c>
    </row>
    <row r="84" spans="1:6" ht="13.8" thickTop="1">
      <c r="A84" s="348"/>
      <c r="B84" s="329"/>
      <c r="C84" s="329"/>
      <c r="D84" s="329"/>
      <c r="E84" s="329"/>
      <c r="F84" s="329"/>
    </row>
    <row r="85" spans="1:6">
      <c r="A85" s="348"/>
      <c r="B85" s="329"/>
      <c r="C85" s="329"/>
      <c r="D85" s="329"/>
      <c r="E85" s="329"/>
      <c r="F85" s="329"/>
    </row>
    <row r="86" spans="1:6">
      <c r="A86" s="336" t="s">
        <v>891</v>
      </c>
      <c r="B86" s="351"/>
      <c r="C86" s="351"/>
      <c r="D86" s="351"/>
      <c r="E86" s="351"/>
      <c r="F86" s="329"/>
    </row>
    <row r="87" spans="1:6" ht="12.75" customHeight="1">
      <c r="A87" s="352"/>
      <c r="B87" s="629" t="s">
        <v>700</v>
      </c>
      <c r="C87" s="629"/>
      <c r="D87" s="629"/>
      <c r="E87" s="629"/>
      <c r="F87" s="629"/>
    </row>
    <row r="88" spans="1:6">
      <c r="A88" s="353"/>
      <c r="B88" s="502">
        <v>2006</v>
      </c>
      <c r="C88" s="502">
        <v>2007</v>
      </c>
      <c r="D88" s="502">
        <v>2008</v>
      </c>
      <c r="E88" s="502">
        <v>2009</v>
      </c>
      <c r="F88" s="502">
        <v>2010</v>
      </c>
    </row>
    <row r="89" spans="1:6">
      <c r="A89" s="354" t="s">
        <v>336</v>
      </c>
      <c r="B89" s="77">
        <v>0.32</v>
      </c>
      <c r="C89" s="77">
        <v>0.33</v>
      </c>
      <c r="D89" s="77">
        <v>0.47</v>
      </c>
      <c r="E89" s="77">
        <v>1.35</v>
      </c>
      <c r="F89" s="77">
        <v>1.82</v>
      </c>
    </row>
    <row r="90" spans="1:6" ht="13.8" thickBot="1">
      <c r="A90" s="355" t="s">
        <v>321</v>
      </c>
      <c r="B90" s="337">
        <v>0.44</v>
      </c>
      <c r="C90" s="337">
        <v>0.45</v>
      </c>
      <c r="D90" s="337">
        <v>0.64</v>
      </c>
      <c r="E90" s="337">
        <v>1.84</v>
      </c>
      <c r="F90" s="337">
        <v>2.4700000000000002</v>
      </c>
    </row>
    <row r="91" spans="1:6">
      <c r="A91" s="340"/>
      <c r="B91" s="351"/>
      <c r="C91" s="351"/>
      <c r="D91" s="351"/>
      <c r="E91" s="351"/>
      <c r="F91" s="351"/>
    </row>
    <row r="92" spans="1:6">
      <c r="A92" s="530" t="s">
        <v>213</v>
      </c>
      <c r="B92" s="530"/>
      <c r="C92" s="530"/>
      <c r="D92" s="530"/>
      <c r="E92" s="530"/>
      <c r="F92" s="20"/>
    </row>
    <row r="93" spans="1:6" hidden="1"/>
    <row r="94" spans="1:6" hidden="1"/>
    <row r="95" spans="1:6" hidden="1"/>
  </sheetData>
  <sheetProtection password="CAF1" sheet="1" formatCells="0" formatColumns="0" formatRows="0" insertColumns="0" insertRows="0" insertHyperlinks="0" deleteColumns="0" deleteRows="0" sort="0" autoFilter="0" pivotTables="0"/>
  <mergeCells count="12">
    <mergeCell ref="A2:F2"/>
    <mergeCell ref="B13:F13"/>
    <mergeCell ref="A92:E92"/>
    <mergeCell ref="B87:F87"/>
    <mergeCell ref="A23:F23"/>
    <mergeCell ref="A40:F40"/>
    <mergeCell ref="B42:F42"/>
    <mergeCell ref="B26:F26"/>
    <mergeCell ref="B44:F44"/>
    <mergeCell ref="B18:F18"/>
    <mergeCell ref="B8:F8"/>
    <mergeCell ref="B6:F6"/>
  </mergeCells>
  <phoneticPr fontId="24" type="noConversion"/>
  <hyperlinks>
    <hyperlink ref="A92:E92"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2" manualBreakCount="2">
    <brk id="24" max="5" man="1"/>
    <brk id="70" max="5" man="1"/>
  </rowBreaks>
  <drawing r:id="rId2"/>
</worksheet>
</file>

<file path=xl/worksheets/sheet27.xml><?xml version="1.0" encoding="utf-8"?>
<worksheet xmlns="http://schemas.openxmlformats.org/spreadsheetml/2006/main" xmlns:r="http://schemas.openxmlformats.org/officeDocument/2006/relationships">
  <dimension ref="A1:R45"/>
  <sheetViews>
    <sheetView zoomScaleNormal="100" zoomScaleSheetLayoutView="100" workbookViewId="0"/>
  </sheetViews>
  <sheetFormatPr defaultColWidth="0" defaultRowHeight="13.2" zeroHeight="1" outlineLevelCol="1"/>
  <cols>
    <col min="1" max="1" width="57.44140625" style="28" customWidth="1"/>
    <col min="2" max="2" width="8.6640625" style="28" hidden="1" customWidth="1" outlineLevel="1"/>
    <col min="3" max="3" width="8.6640625" style="28" customWidth="1" collapsed="1"/>
    <col min="4" max="7" width="8.6640625" style="28" customWidth="1"/>
    <col min="8" max="16384" width="0" style="28" hidden="1"/>
  </cols>
  <sheetData>
    <row r="1" spans="1:7" ht="15.6">
      <c r="A1" s="48" t="s">
        <v>892</v>
      </c>
    </row>
    <row r="2" spans="1:7" ht="17.25" customHeight="1">
      <c r="A2" s="256" t="s">
        <v>893</v>
      </c>
    </row>
    <row r="3" spans="1:7" ht="13.2" customHeight="1">
      <c r="A3" s="76"/>
      <c r="B3" s="531" t="s">
        <v>700</v>
      </c>
      <c r="C3" s="531"/>
      <c r="D3" s="531"/>
      <c r="E3" s="531"/>
      <c r="F3" s="531"/>
      <c r="G3" s="531"/>
    </row>
    <row r="4" spans="1:7">
      <c r="A4" s="76"/>
      <c r="B4" s="29">
        <v>2005</v>
      </c>
      <c r="C4" s="489">
        <v>2006</v>
      </c>
      <c r="D4" s="328">
        <v>2007</v>
      </c>
      <c r="E4" s="328">
        <v>2008</v>
      </c>
      <c r="F4" s="328">
        <v>2009</v>
      </c>
      <c r="G4" s="328">
        <v>2010</v>
      </c>
    </row>
    <row r="5" spans="1:7">
      <c r="A5" s="52" t="s">
        <v>894</v>
      </c>
      <c r="B5" s="135">
        <v>444.4</v>
      </c>
      <c r="C5" s="135">
        <v>458.9</v>
      </c>
      <c r="D5" s="86">
        <v>467.1</v>
      </c>
      <c r="E5" s="86">
        <v>462.5</v>
      </c>
      <c r="F5" s="86">
        <v>432.2</v>
      </c>
      <c r="G5" s="86">
        <v>460.3</v>
      </c>
    </row>
    <row r="6" spans="1:7" ht="23.4" customHeight="1">
      <c r="A6" s="439" t="s">
        <v>1163</v>
      </c>
      <c r="B6" s="135">
        <v>336.8</v>
      </c>
      <c r="C6" s="135">
        <v>348.8</v>
      </c>
      <c r="D6" s="86">
        <v>353</v>
      </c>
      <c r="E6" s="86">
        <v>349.5</v>
      </c>
      <c r="F6" s="86">
        <v>332.5</v>
      </c>
      <c r="G6" s="86">
        <v>351.7</v>
      </c>
    </row>
    <row r="7" spans="1:7" ht="24.75" customHeight="1" thickBot="1">
      <c r="A7" s="440" t="s">
        <v>895</v>
      </c>
      <c r="B7" s="44">
        <v>288.89999999999998</v>
      </c>
      <c r="C7" s="44">
        <v>295.10000000000002</v>
      </c>
      <c r="D7" s="44">
        <v>296.60000000000002</v>
      </c>
      <c r="E7" s="44">
        <v>290.10000000000002</v>
      </c>
      <c r="F7" s="441">
        <v>272.10000000000002</v>
      </c>
      <c r="G7" s="441">
        <v>288.10000000000002</v>
      </c>
    </row>
    <row r="8" spans="1:7" ht="25.5" customHeight="1" thickTop="1">
      <c r="A8" s="529" t="s">
        <v>896</v>
      </c>
      <c r="B8" s="529"/>
      <c r="C8" s="529"/>
      <c r="D8" s="529"/>
      <c r="E8" s="529"/>
      <c r="F8" s="529"/>
      <c r="G8" s="179"/>
    </row>
    <row r="9" spans="1:7">
      <c r="A9" s="534" t="s">
        <v>1164</v>
      </c>
      <c r="B9" s="534"/>
      <c r="C9" s="534"/>
      <c r="D9" s="534"/>
      <c r="E9" s="534"/>
      <c r="F9" s="534"/>
      <c r="G9" s="97"/>
    </row>
    <row r="10" spans="1:7" ht="21" customHeight="1">
      <c r="A10" s="256" t="s">
        <v>1165</v>
      </c>
    </row>
    <row r="11" spans="1:7" ht="13.2" customHeight="1">
      <c r="A11" s="76"/>
      <c r="B11" s="531" t="s">
        <v>700</v>
      </c>
      <c r="C11" s="531"/>
      <c r="D11" s="531"/>
      <c r="E11" s="531"/>
      <c r="F11" s="531"/>
      <c r="G11" s="531"/>
    </row>
    <row r="12" spans="1:7">
      <c r="A12" s="76"/>
      <c r="B12" s="29">
        <v>2005</v>
      </c>
      <c r="C12" s="489">
        <v>2006</v>
      </c>
      <c r="D12" s="328">
        <v>2007</v>
      </c>
      <c r="E12" s="328">
        <v>2008</v>
      </c>
      <c r="F12" s="328">
        <v>2009</v>
      </c>
      <c r="G12" s="328">
        <v>2010</v>
      </c>
    </row>
    <row r="13" spans="1:7">
      <c r="A13" s="442"/>
      <c r="B13" s="531" t="s">
        <v>897</v>
      </c>
      <c r="C13" s="531"/>
      <c r="D13" s="531"/>
      <c r="E13" s="531"/>
      <c r="F13" s="531"/>
      <c r="G13" s="531"/>
    </row>
    <row r="14" spans="1:7">
      <c r="A14" s="52" t="s">
        <v>898</v>
      </c>
      <c r="B14" s="111">
        <v>0.38</v>
      </c>
      <c r="C14" s="111">
        <v>0.37</v>
      </c>
      <c r="D14" s="111">
        <v>0.37</v>
      </c>
      <c r="E14" s="111">
        <v>0.33</v>
      </c>
      <c r="F14" s="111">
        <v>0.31</v>
      </c>
      <c r="G14" s="111">
        <v>0.3</v>
      </c>
    </row>
    <row r="15" spans="1:7">
      <c r="A15" s="52" t="s">
        <v>899</v>
      </c>
      <c r="B15" s="111">
        <v>7.0000000000000007E-2</v>
      </c>
      <c r="C15" s="111">
        <v>0.06</v>
      </c>
      <c r="D15" s="111">
        <v>7.0000000000000007E-2</v>
      </c>
      <c r="E15" s="111">
        <v>7.0000000000000007E-2</v>
      </c>
      <c r="F15" s="111">
        <v>7.0000000000000007E-2</v>
      </c>
      <c r="G15" s="111">
        <v>7.0000000000000007E-2</v>
      </c>
    </row>
    <row r="16" spans="1:7">
      <c r="A16" s="52" t="s">
        <v>900</v>
      </c>
      <c r="B16" s="111">
        <v>7.0000000000000007E-2</v>
      </c>
      <c r="C16" s="111">
        <v>0.06</v>
      </c>
      <c r="D16" s="111">
        <v>7.0000000000000007E-2</v>
      </c>
      <c r="E16" s="111">
        <v>7.0000000000000007E-2</v>
      </c>
      <c r="F16" s="111">
        <v>7.0000000000000007E-2</v>
      </c>
      <c r="G16" s="111">
        <v>7.0000000000000007E-2</v>
      </c>
    </row>
    <row r="17" spans="1:18">
      <c r="A17" s="52" t="s">
        <v>901</v>
      </c>
      <c r="B17" s="111">
        <v>0.16</v>
      </c>
      <c r="C17" s="111">
        <v>0.15</v>
      </c>
      <c r="D17" s="111">
        <v>0.16</v>
      </c>
      <c r="E17" s="111">
        <v>0.17</v>
      </c>
      <c r="F17" s="111">
        <v>0.19</v>
      </c>
      <c r="G17" s="111">
        <v>0.19</v>
      </c>
    </row>
    <row r="18" spans="1:18">
      <c r="A18" s="52" t="s">
        <v>902</v>
      </c>
      <c r="B18" s="111">
        <v>0.1</v>
      </c>
      <c r="C18" s="111">
        <v>0.1</v>
      </c>
      <c r="D18" s="111">
        <v>0.11</v>
      </c>
      <c r="E18" s="111">
        <v>0.11</v>
      </c>
      <c r="F18" s="111">
        <v>0.14000000000000001</v>
      </c>
      <c r="G18" s="111">
        <v>0.15</v>
      </c>
    </row>
    <row r="19" spans="1:18">
      <c r="A19" s="52" t="s">
        <v>903</v>
      </c>
      <c r="B19" s="111">
        <v>0.22</v>
      </c>
      <c r="C19" s="111">
        <v>0.26</v>
      </c>
      <c r="D19" s="111">
        <v>0.22</v>
      </c>
      <c r="E19" s="111">
        <v>0.25</v>
      </c>
      <c r="F19" s="111">
        <v>0.22</v>
      </c>
      <c r="G19" s="111">
        <v>0.22</v>
      </c>
    </row>
    <row r="20" spans="1:18" ht="13.8" thickBot="1">
      <c r="A20" s="275" t="s">
        <v>282</v>
      </c>
      <c r="B20" s="443">
        <v>1</v>
      </c>
      <c r="C20" s="443">
        <v>1</v>
      </c>
      <c r="D20" s="443">
        <v>1</v>
      </c>
      <c r="E20" s="443">
        <v>1</v>
      </c>
      <c r="F20" s="443">
        <v>1</v>
      </c>
      <c r="G20" s="443">
        <f>SUM(G14:G19)</f>
        <v>1</v>
      </c>
    </row>
    <row r="21" spans="1:18" ht="13.8" thickTop="1">
      <c r="A21" s="619" t="s">
        <v>1166</v>
      </c>
      <c r="B21" s="619"/>
      <c r="C21" s="619"/>
      <c r="D21" s="619"/>
      <c r="E21" s="619"/>
      <c r="F21" s="619"/>
      <c r="G21" s="74"/>
    </row>
    <row r="22" spans="1:18" ht="23.25" customHeight="1">
      <c r="A22" s="256" t="s">
        <v>904</v>
      </c>
    </row>
    <row r="23" spans="1:18" ht="13.2" customHeight="1">
      <c r="A23" s="76" t="s">
        <v>207</v>
      </c>
      <c r="B23" s="531" t="s">
        <v>700</v>
      </c>
      <c r="C23" s="531"/>
      <c r="D23" s="531"/>
      <c r="E23" s="531"/>
      <c r="F23" s="531"/>
      <c r="G23" s="531"/>
    </row>
    <row r="24" spans="1:18" ht="12.75" customHeight="1">
      <c r="A24" s="76" t="s">
        <v>207</v>
      </c>
      <c r="B24" s="29">
        <v>2005</v>
      </c>
      <c r="C24" s="489">
        <v>2006</v>
      </c>
      <c r="D24" s="489">
        <v>2007</v>
      </c>
      <c r="E24" s="489">
        <v>2008</v>
      </c>
      <c r="F24" s="328">
        <v>2009</v>
      </c>
      <c r="G24" s="328">
        <v>2010</v>
      </c>
    </row>
    <row r="25" spans="1:18" ht="12.75" customHeight="1">
      <c r="A25" s="29"/>
      <c r="B25" s="531" t="s">
        <v>905</v>
      </c>
      <c r="C25" s="531"/>
      <c r="D25" s="531"/>
      <c r="E25" s="531"/>
      <c r="F25" s="531"/>
      <c r="G25" s="531"/>
      <c r="H25" s="424"/>
      <c r="I25" s="424"/>
      <c r="J25" s="424"/>
      <c r="K25" s="424"/>
      <c r="L25" s="424"/>
      <c r="M25" s="424"/>
      <c r="N25" s="424"/>
      <c r="O25" s="424"/>
      <c r="P25" s="424"/>
      <c r="Q25" s="424"/>
      <c r="R25" s="424"/>
    </row>
    <row r="26" spans="1:18">
      <c r="A26" s="52" t="s">
        <v>906</v>
      </c>
      <c r="B26" s="107">
        <v>1013.4</v>
      </c>
      <c r="C26" s="107">
        <v>1129.4000000000001</v>
      </c>
      <c r="D26" s="107">
        <v>1301.0999999999999</v>
      </c>
      <c r="E26" s="107">
        <v>1636</v>
      </c>
      <c r="F26" s="322">
        <v>1893.5</v>
      </c>
      <c r="G26" s="322">
        <v>2392</v>
      </c>
    </row>
    <row r="27" spans="1:18">
      <c r="A27" s="52" t="s">
        <v>907</v>
      </c>
      <c r="B27" s="107">
        <v>1064.4000000000001</v>
      </c>
      <c r="C27" s="107">
        <v>1179.8</v>
      </c>
      <c r="D27" s="107">
        <v>1353.8</v>
      </c>
      <c r="E27" s="107">
        <v>1699.2</v>
      </c>
      <c r="F27" s="322">
        <v>1970</v>
      </c>
      <c r="G27" s="322">
        <v>2495.3000000000002</v>
      </c>
    </row>
    <row r="28" spans="1:18" ht="13.8" thickBot="1">
      <c r="A28" s="444" t="s">
        <v>908</v>
      </c>
      <c r="B28" s="142">
        <v>771.3</v>
      </c>
      <c r="C28" s="142">
        <v>896.9</v>
      </c>
      <c r="D28" s="142">
        <v>1031.7</v>
      </c>
      <c r="E28" s="142">
        <v>1288.8</v>
      </c>
      <c r="F28" s="324">
        <v>1486.4</v>
      </c>
      <c r="G28" s="324">
        <v>1880.6</v>
      </c>
    </row>
    <row r="29" spans="1:18" ht="21" customHeight="1" thickTop="1">
      <c r="A29" s="256" t="s">
        <v>909</v>
      </c>
    </row>
    <row r="30" spans="1:18" ht="13.2" customHeight="1">
      <c r="A30" s="632"/>
      <c r="B30" s="538" t="s">
        <v>216</v>
      </c>
      <c r="C30" s="538"/>
      <c r="D30" s="538"/>
      <c r="E30" s="538"/>
      <c r="F30" s="538"/>
      <c r="G30" s="538"/>
    </row>
    <row r="31" spans="1:18">
      <c r="A31" s="632"/>
      <c r="B31" s="126">
        <v>2005</v>
      </c>
      <c r="C31" s="503">
        <v>2006</v>
      </c>
      <c r="D31" s="503">
        <v>2007</v>
      </c>
      <c r="E31" s="503">
        <v>2008</v>
      </c>
      <c r="F31" s="503">
        <v>2009</v>
      </c>
      <c r="G31" s="503">
        <v>2010</v>
      </c>
    </row>
    <row r="32" spans="1:18" ht="39" customHeight="1">
      <c r="A32" s="445" t="s">
        <v>655</v>
      </c>
      <c r="B32" s="109">
        <v>485.8</v>
      </c>
      <c r="C32" s="109">
        <v>514.20000000000005</v>
      </c>
      <c r="D32" s="109">
        <v>544.5</v>
      </c>
      <c r="E32" s="109">
        <v>586.79999999999995</v>
      </c>
      <c r="F32" s="109">
        <v>611.79999999999995</v>
      </c>
      <c r="G32" s="313">
        <v>632.70000000000005</v>
      </c>
    </row>
    <row r="33" spans="1:7" ht="34.950000000000003" customHeight="1">
      <c r="A33" s="445" t="s">
        <v>910</v>
      </c>
      <c r="B33" s="109">
        <v>217.2</v>
      </c>
      <c r="C33" s="109">
        <v>222.4</v>
      </c>
      <c r="D33" s="109">
        <v>222.4</v>
      </c>
      <c r="E33" s="109">
        <v>224.7</v>
      </c>
      <c r="F33" s="109">
        <v>217.4</v>
      </c>
      <c r="G33" s="136">
        <v>225</v>
      </c>
    </row>
    <row r="34" spans="1:7" ht="22.2" customHeight="1">
      <c r="A34" s="374" t="s">
        <v>911</v>
      </c>
      <c r="B34" s="109"/>
      <c r="C34" s="109"/>
      <c r="D34" s="109"/>
      <c r="E34" s="109"/>
      <c r="F34" s="109"/>
      <c r="G34" s="313"/>
    </row>
    <row r="35" spans="1:7" ht="13.95" customHeight="1">
      <c r="A35" s="446" t="s">
        <v>912</v>
      </c>
      <c r="B35" s="109">
        <v>25.1</v>
      </c>
      <c r="C35" s="109">
        <v>25.9</v>
      </c>
      <c r="D35" s="109">
        <v>26.1</v>
      </c>
      <c r="E35" s="109">
        <v>26.6</v>
      </c>
      <c r="F35" s="109">
        <v>26.7</v>
      </c>
      <c r="G35" s="313">
        <v>26.9</v>
      </c>
    </row>
    <row r="36" spans="1:7">
      <c r="A36" s="446" t="s">
        <v>913</v>
      </c>
      <c r="B36" s="109">
        <v>14.6</v>
      </c>
      <c r="C36" s="109">
        <v>15.9</v>
      </c>
      <c r="D36" s="109">
        <v>16.2</v>
      </c>
      <c r="E36" s="109">
        <v>17.600000000000001</v>
      </c>
      <c r="F36" s="109">
        <v>18.899999999999999</v>
      </c>
      <c r="G36" s="313">
        <v>19.7</v>
      </c>
    </row>
    <row r="37" spans="1:7">
      <c r="A37" s="446" t="s">
        <v>914</v>
      </c>
      <c r="B37" s="136">
        <v>34.1</v>
      </c>
      <c r="C37" s="136">
        <v>35.799999999999997</v>
      </c>
      <c r="D37" s="136">
        <v>36.4</v>
      </c>
      <c r="E37" s="136">
        <v>39</v>
      </c>
      <c r="F37" s="136">
        <v>40.6</v>
      </c>
      <c r="G37" s="313">
        <v>41.4</v>
      </c>
    </row>
    <row r="38" spans="1:7" ht="13.8" thickBot="1">
      <c r="A38" s="447" t="s">
        <v>915</v>
      </c>
      <c r="B38" s="253">
        <v>159.80000000000001</v>
      </c>
      <c r="C38" s="253">
        <v>173.4</v>
      </c>
      <c r="D38" s="253">
        <v>181.8</v>
      </c>
      <c r="E38" s="253">
        <v>202.5</v>
      </c>
      <c r="F38" s="253">
        <v>211.6</v>
      </c>
      <c r="G38" s="448">
        <v>218.2</v>
      </c>
    </row>
    <row r="39" spans="1:7" ht="16.2" customHeight="1">
      <c r="A39" s="449" t="s">
        <v>916</v>
      </c>
      <c r="B39" s="109">
        <v>9.1999999999999993</v>
      </c>
      <c r="C39" s="109">
        <v>17.899999999999999</v>
      </c>
      <c r="D39" s="109">
        <v>20.8</v>
      </c>
      <c r="E39" s="109">
        <v>24.2</v>
      </c>
      <c r="F39" s="109">
        <v>19.3</v>
      </c>
      <c r="G39" s="313">
        <v>25.6</v>
      </c>
    </row>
    <row r="40" spans="1:7" ht="25.5" customHeight="1">
      <c r="A40" s="372" t="s">
        <v>917</v>
      </c>
      <c r="B40" s="38">
        <v>0.81399999999999995</v>
      </c>
      <c r="C40" s="38">
        <v>0.82499999999999996</v>
      </c>
      <c r="D40" s="38">
        <v>0.80400000000000005</v>
      </c>
      <c r="E40" s="38">
        <v>0.77900000000000003</v>
      </c>
      <c r="F40" s="38">
        <v>0.78200000000000003</v>
      </c>
      <c r="G40" s="35">
        <v>0.77900000000000003</v>
      </c>
    </row>
    <row r="41" spans="1:7" ht="15" customHeight="1">
      <c r="A41" s="446" t="s">
        <v>918</v>
      </c>
      <c r="B41" s="38">
        <v>0.84099999999999997</v>
      </c>
      <c r="C41" s="38">
        <v>0.84699999999999998</v>
      </c>
      <c r="D41" s="38">
        <v>0.83099999999999996</v>
      </c>
      <c r="E41" s="38">
        <v>0.81399999999999995</v>
      </c>
      <c r="F41" s="38">
        <v>0.81499999999999995</v>
      </c>
      <c r="G41" s="35">
        <v>0.82399999999999995</v>
      </c>
    </row>
    <row r="42" spans="1:7" ht="13.2" customHeight="1" thickBot="1">
      <c r="A42" s="450" t="s">
        <v>919</v>
      </c>
      <c r="B42" s="451">
        <v>0.75700000000000001</v>
      </c>
      <c r="C42" s="451">
        <v>0.77500000000000002</v>
      </c>
      <c r="D42" s="451">
        <v>0.74299999999999999</v>
      </c>
      <c r="E42" s="451">
        <v>0.70399999999999996</v>
      </c>
      <c r="F42" s="451">
        <v>0.71</v>
      </c>
      <c r="G42" s="452">
        <v>0.68500000000000005</v>
      </c>
    </row>
    <row r="43" spans="1:7" ht="21.75" customHeight="1" thickTop="1">
      <c r="A43" s="631" t="s">
        <v>920</v>
      </c>
      <c r="B43" s="631"/>
      <c r="C43" s="631"/>
      <c r="D43" s="631"/>
      <c r="E43" s="631"/>
      <c r="F43" s="631"/>
      <c r="G43" s="631"/>
    </row>
    <row r="44" spans="1:7" ht="17.25" customHeight="1"/>
    <row r="45" spans="1:7">
      <c r="A45" s="603" t="s">
        <v>213</v>
      </c>
      <c r="B45" s="603"/>
      <c r="C45" s="603"/>
      <c r="D45" s="603"/>
      <c r="E45" s="603"/>
      <c r="F45" s="603"/>
      <c r="G45" s="398"/>
    </row>
  </sheetData>
  <sheetProtection password="CAF1" sheet="1" formatCells="0" formatColumns="0" formatRows="0" insertColumns="0" insertRows="0" insertHyperlinks="0" deleteColumns="0" deleteRows="0" sort="0" autoFilter="0" pivotTables="0"/>
  <mergeCells count="12">
    <mergeCell ref="A43:G43"/>
    <mergeCell ref="A45:F45"/>
    <mergeCell ref="A30:A31"/>
    <mergeCell ref="B3:G3"/>
    <mergeCell ref="B11:G11"/>
    <mergeCell ref="B23:G23"/>
    <mergeCell ref="B30:G30"/>
    <mergeCell ref="A8:F8"/>
    <mergeCell ref="A9:F9"/>
    <mergeCell ref="A21:F21"/>
    <mergeCell ref="B25:G25"/>
    <mergeCell ref="B13:G13"/>
  </mergeCells>
  <phoneticPr fontId="24" type="noConversion"/>
  <hyperlinks>
    <hyperlink ref="A45:F45"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28" max="6" man="1"/>
  </rowBreaks>
</worksheet>
</file>

<file path=xl/worksheets/sheet28.xml><?xml version="1.0" encoding="utf-8"?>
<worksheet xmlns="http://schemas.openxmlformats.org/spreadsheetml/2006/main" xmlns:r="http://schemas.openxmlformats.org/officeDocument/2006/relationships">
  <dimension ref="A1:R51"/>
  <sheetViews>
    <sheetView zoomScaleNormal="100" zoomScaleSheetLayoutView="100" workbookViewId="0"/>
  </sheetViews>
  <sheetFormatPr defaultColWidth="0" defaultRowHeight="13.2" zeroHeight="1"/>
  <cols>
    <col min="1" max="1" width="50.6640625" style="2" customWidth="1"/>
    <col min="2" max="3" width="7.6640625" style="2" customWidth="1"/>
    <col min="4" max="7" width="8.6640625" style="2" customWidth="1"/>
    <col min="8" max="16384" width="0" style="2" hidden="1"/>
  </cols>
  <sheetData>
    <row r="1" spans="1:7" ht="15.6">
      <c r="A1" s="48" t="s">
        <v>921</v>
      </c>
      <c r="B1" s="28"/>
      <c r="C1" s="28"/>
      <c r="D1" s="28"/>
      <c r="E1" s="28"/>
      <c r="F1" s="28"/>
      <c r="G1" s="28"/>
    </row>
    <row r="2" spans="1:7" ht="16.5" customHeight="1">
      <c r="A2" s="256" t="s">
        <v>922</v>
      </c>
      <c r="B2" s="28"/>
      <c r="C2" s="28"/>
      <c r="D2" s="28"/>
      <c r="E2" s="28"/>
      <c r="F2" s="28"/>
      <c r="G2" s="28"/>
    </row>
    <row r="3" spans="1:7" ht="12.75" customHeight="1">
      <c r="A3" s="537"/>
      <c r="B3" s="537"/>
      <c r="C3" s="537"/>
      <c r="D3" s="531" t="s">
        <v>700</v>
      </c>
      <c r="E3" s="531"/>
      <c r="F3" s="531"/>
      <c r="G3" s="531"/>
    </row>
    <row r="4" spans="1:7">
      <c r="A4" s="537"/>
      <c r="B4" s="537"/>
      <c r="C4" s="537"/>
      <c r="D4" s="489">
        <v>2007</v>
      </c>
      <c r="E4" s="489">
        <v>2008</v>
      </c>
      <c r="F4" s="489">
        <v>2009</v>
      </c>
      <c r="G4" s="489">
        <v>2010</v>
      </c>
    </row>
    <row r="5" spans="1:7" ht="11.25" customHeight="1">
      <c r="A5" s="633" t="s">
        <v>923</v>
      </c>
      <c r="B5" s="633"/>
      <c r="C5" s="633"/>
      <c r="D5" s="52"/>
      <c r="E5" s="52"/>
      <c r="F5" s="52"/>
      <c r="G5" s="52"/>
    </row>
    <row r="6" spans="1:7" ht="12" customHeight="1">
      <c r="A6" s="635" t="s">
        <v>846</v>
      </c>
      <c r="B6" s="635"/>
      <c r="C6" s="635"/>
      <c r="D6" s="108">
        <v>7.3</v>
      </c>
      <c r="E6" s="108">
        <v>11.8</v>
      </c>
      <c r="F6" s="108">
        <v>9.6999999999999993</v>
      </c>
      <c r="G6" s="108">
        <v>9.8000000000000007</v>
      </c>
    </row>
    <row r="7" spans="1:7" ht="12" customHeight="1">
      <c r="A7" s="635" t="s">
        <v>847</v>
      </c>
      <c r="B7" s="635"/>
      <c r="C7" s="635"/>
      <c r="D7" s="108">
        <v>15.6</v>
      </c>
      <c r="E7" s="108">
        <v>16.7</v>
      </c>
      <c r="F7" s="135">
        <v>16.100000000000001</v>
      </c>
      <c r="G7" s="135">
        <v>16.3</v>
      </c>
    </row>
    <row r="8" spans="1:7" ht="12" customHeight="1">
      <c r="A8" s="635" t="s">
        <v>775</v>
      </c>
      <c r="B8" s="635"/>
      <c r="C8" s="635"/>
      <c r="D8" s="108">
        <v>2.5</v>
      </c>
      <c r="E8" s="108">
        <v>3.3</v>
      </c>
      <c r="F8" s="108">
        <v>3.3</v>
      </c>
      <c r="G8" s="135">
        <v>3</v>
      </c>
    </row>
    <row r="9" spans="1:7" ht="12.75" customHeight="1" thickBot="1">
      <c r="A9" s="634" t="s">
        <v>282</v>
      </c>
      <c r="B9" s="634"/>
      <c r="C9" s="634"/>
      <c r="D9" s="356">
        <v>25.4</v>
      </c>
      <c r="E9" s="356">
        <v>31.8</v>
      </c>
      <c r="F9" s="357">
        <f>SUM(F6:F8)</f>
        <v>29.1</v>
      </c>
      <c r="G9" s="357">
        <f>SUM(G6:G8)</f>
        <v>29.1</v>
      </c>
    </row>
    <row r="10" spans="1:7" s="3" customFormat="1" ht="21.75" customHeight="1">
      <c r="A10" s="633" t="s">
        <v>924</v>
      </c>
      <c r="B10" s="633"/>
      <c r="C10" s="633"/>
      <c r="D10" s="52"/>
      <c r="E10" s="108"/>
      <c r="F10" s="52"/>
      <c r="G10" s="52"/>
    </row>
    <row r="11" spans="1:7" ht="12" customHeight="1">
      <c r="A11" s="635" t="s">
        <v>846</v>
      </c>
      <c r="B11" s="635"/>
      <c r="C11" s="635"/>
      <c r="D11" s="263">
        <v>47129</v>
      </c>
      <c r="E11" s="263">
        <v>81468</v>
      </c>
      <c r="F11" s="263">
        <v>56771</v>
      </c>
      <c r="G11" s="263">
        <v>74697</v>
      </c>
    </row>
    <row r="12" spans="1:7" ht="12" customHeight="1">
      <c r="A12" s="635" t="s">
        <v>847</v>
      </c>
      <c r="B12" s="635"/>
      <c r="C12" s="635"/>
      <c r="D12" s="263">
        <v>117148</v>
      </c>
      <c r="E12" s="263">
        <v>161389</v>
      </c>
      <c r="F12" s="263">
        <v>131714</v>
      </c>
      <c r="G12" s="263">
        <v>146959</v>
      </c>
    </row>
    <row r="13" spans="1:7" ht="12" customHeight="1">
      <c r="A13" s="635" t="s">
        <v>775</v>
      </c>
      <c r="B13" s="635"/>
      <c r="C13" s="635"/>
      <c r="D13" s="263">
        <v>19586</v>
      </c>
      <c r="E13" s="263">
        <v>26570</v>
      </c>
      <c r="F13" s="263">
        <v>26562</v>
      </c>
      <c r="G13" s="263">
        <v>25988</v>
      </c>
    </row>
    <row r="14" spans="1:7" ht="12.75" customHeight="1" thickBot="1">
      <c r="A14" s="634" t="s">
        <v>282</v>
      </c>
      <c r="B14" s="634"/>
      <c r="C14" s="634"/>
      <c r="D14" s="358">
        <v>183863</v>
      </c>
      <c r="E14" s="358">
        <v>269427</v>
      </c>
      <c r="F14" s="358">
        <v>215047</v>
      </c>
      <c r="G14" s="358">
        <f>SUM(G11:G13)</f>
        <v>247644</v>
      </c>
    </row>
    <row r="15" spans="1:7" ht="21.75" customHeight="1">
      <c r="A15" s="633" t="s">
        <v>5</v>
      </c>
      <c r="B15" s="633"/>
      <c r="C15" s="633"/>
      <c r="D15" s="108"/>
      <c r="E15" s="108"/>
      <c r="F15" s="108"/>
      <c r="G15" s="108"/>
    </row>
    <row r="16" spans="1:7" ht="12" customHeight="1">
      <c r="A16" s="635" t="s">
        <v>846</v>
      </c>
      <c r="B16" s="635"/>
      <c r="C16" s="635"/>
      <c r="D16" s="263">
        <f>ROUNDDOWN(D11/Macroeconomics!E$9,0)</f>
        <v>1919</v>
      </c>
      <c r="E16" s="263">
        <f>ROUND(E11/Macroeconomics!F$9,0)</f>
        <v>2773</v>
      </c>
      <c r="F16" s="263">
        <f>ROUND(F11/Macroeconomics!G$9,0)</f>
        <v>1877</v>
      </c>
      <c r="G16" s="263">
        <f>ROUND(G11/Macroeconomics!H$9,0)</f>
        <v>2451</v>
      </c>
    </row>
    <row r="17" spans="1:18" ht="12" customHeight="1">
      <c r="A17" s="635" t="s">
        <v>847</v>
      </c>
      <c r="B17" s="635"/>
      <c r="C17" s="635"/>
      <c r="D17" s="263">
        <f>ROUND(D12/Macroeconomics!E$9,0)</f>
        <v>4772</v>
      </c>
      <c r="E17" s="263">
        <f>ROUND(E12/Macroeconomics!F$9,0)</f>
        <v>5493</v>
      </c>
      <c r="F17" s="263">
        <f>ROUND(F12/Macroeconomics!G$9,0)</f>
        <v>4356</v>
      </c>
      <c r="G17" s="263">
        <f>ROUND(G12/Macroeconomics!H$9,0)</f>
        <v>4821</v>
      </c>
    </row>
    <row r="18" spans="1:18" ht="12" customHeight="1">
      <c r="A18" s="635" t="s">
        <v>775</v>
      </c>
      <c r="B18" s="635"/>
      <c r="C18" s="635"/>
      <c r="D18" s="263">
        <f>ROUND(D13/Macroeconomics!E$9,0)</f>
        <v>798</v>
      </c>
      <c r="E18" s="263">
        <f>ROUND(E13/Macroeconomics!F$9,0)</f>
        <v>904</v>
      </c>
      <c r="F18" s="263">
        <f>ROUND(F13/Macroeconomics!G$9,0)</f>
        <v>878</v>
      </c>
      <c r="G18" s="263">
        <f>ROUND(G13/Macroeconomics!H$9,0)</f>
        <v>853</v>
      </c>
    </row>
    <row r="19" spans="1:18" ht="12.75" customHeight="1" thickBot="1">
      <c r="A19" s="634" t="s">
        <v>282</v>
      </c>
      <c r="B19" s="634"/>
      <c r="C19" s="634"/>
      <c r="D19" s="358">
        <f>ROUND(D14/Macroeconomics!E$9,0)</f>
        <v>7489</v>
      </c>
      <c r="E19" s="358">
        <f>ROUND(E14/Macroeconomics!F$9,0)</f>
        <v>9170</v>
      </c>
      <c r="F19" s="358">
        <f>ROUND(F14/Macroeconomics!G$9,0)</f>
        <v>7111</v>
      </c>
      <c r="G19" s="358">
        <f>ROUND(G14/Macroeconomics!H$9,0)</f>
        <v>8125</v>
      </c>
    </row>
    <row r="20" spans="1:18" ht="21.75" customHeight="1">
      <c r="A20" s="633" t="s">
        <v>6</v>
      </c>
      <c r="B20" s="633"/>
      <c r="C20" s="633"/>
      <c r="D20" s="108"/>
      <c r="E20" s="108"/>
      <c r="F20" s="108"/>
      <c r="G20" s="108"/>
    </row>
    <row r="21" spans="1:18" ht="12" customHeight="1">
      <c r="A21" s="635" t="s">
        <v>846</v>
      </c>
      <c r="B21" s="635"/>
      <c r="C21" s="635"/>
      <c r="D21" s="263">
        <f>ROUND(D11/Macroeconomics!E$13,0)</f>
        <v>1312</v>
      </c>
      <c r="E21" s="263">
        <f>ROUND(E11/Macroeconomics!F$13,0)</f>
        <v>1966</v>
      </c>
      <c r="F21" s="263">
        <f>ROUND(F11/Macroeconomics!G$13,0)</f>
        <v>1308</v>
      </c>
      <c r="G21" s="263">
        <f>ROUND(G11/Macroeconomics!H$13,0)</f>
        <v>1852</v>
      </c>
    </row>
    <row r="22" spans="1:18" ht="12" customHeight="1">
      <c r="A22" s="635" t="s">
        <v>847</v>
      </c>
      <c r="B22" s="635"/>
      <c r="C22" s="635"/>
      <c r="D22" s="263">
        <f>ROUND(D12/Macroeconomics!E$13,0)</f>
        <v>3260</v>
      </c>
      <c r="E22" s="263">
        <f>ROUND(E12/Macroeconomics!F$13,0)</f>
        <v>3895</v>
      </c>
      <c r="F22" s="263">
        <f>ROUND(F12/Macroeconomics!G$13,0)</f>
        <v>3036</v>
      </c>
      <c r="G22" s="263">
        <f>ROUND(G12/Macroeconomics!H$13,0)</f>
        <v>3644</v>
      </c>
    </row>
    <row r="23" spans="1:18" ht="12" customHeight="1">
      <c r="A23" s="635" t="s">
        <v>775</v>
      </c>
      <c r="B23" s="635"/>
      <c r="C23" s="635"/>
      <c r="D23" s="263">
        <f>ROUND(D13/Macroeconomics!E$13,0)</f>
        <v>545</v>
      </c>
      <c r="E23" s="263">
        <f>ROUND(E13/Macroeconomics!F$13,0)</f>
        <v>641</v>
      </c>
      <c r="F23" s="263">
        <f>ROUND(F13/Macroeconomics!G$13,0)</f>
        <v>612</v>
      </c>
      <c r="G23" s="263">
        <f>ROUND(G13/Macroeconomics!H$13,0)</f>
        <v>644</v>
      </c>
    </row>
    <row r="24" spans="1:18" ht="12.75" customHeight="1" thickBot="1">
      <c r="A24" s="634" t="s">
        <v>282</v>
      </c>
      <c r="B24" s="634"/>
      <c r="C24" s="634"/>
      <c r="D24" s="319">
        <f>ROUND(D14/Macroeconomics!E$13,0)</f>
        <v>5117</v>
      </c>
      <c r="E24" s="319">
        <f>ROUND(E14/Macroeconomics!F$13,0)</f>
        <v>6502</v>
      </c>
      <c r="F24" s="319">
        <f>ROUND(F14/Macroeconomics!G$13,0)</f>
        <v>4956</v>
      </c>
      <c r="G24" s="319">
        <f>ROUND(G14/Macroeconomics!H$13,0)</f>
        <v>6140</v>
      </c>
    </row>
    <row r="25" spans="1:18" ht="12.75" customHeight="1" thickTop="1">
      <c r="A25" s="276" t="s">
        <v>855</v>
      </c>
      <c r="B25" s="377"/>
      <c r="C25" s="377"/>
      <c r="D25" s="377"/>
      <c r="E25" s="377"/>
      <c r="F25" s="377"/>
      <c r="G25" s="378"/>
      <c r="H25" s="376"/>
      <c r="I25" s="376"/>
      <c r="J25" s="376"/>
      <c r="K25" s="376"/>
      <c r="L25" s="376"/>
      <c r="M25" s="376"/>
      <c r="N25" s="376"/>
      <c r="O25" s="376"/>
      <c r="P25" s="376"/>
      <c r="Q25" s="376"/>
      <c r="R25" s="376"/>
    </row>
    <row r="26" spans="1:18" ht="24" customHeight="1">
      <c r="A26" s="256" t="s">
        <v>7</v>
      </c>
      <c r="B26" s="28"/>
      <c r="C26" s="28"/>
      <c r="D26" s="28"/>
      <c r="E26" s="28"/>
      <c r="F26" s="28"/>
      <c r="G26" s="28"/>
    </row>
    <row r="27" spans="1:18" ht="11.4" customHeight="1">
      <c r="A27" s="117"/>
      <c r="B27" s="117"/>
      <c r="C27" s="117"/>
      <c r="D27" s="531" t="s">
        <v>700</v>
      </c>
      <c r="E27" s="531"/>
      <c r="F27" s="531"/>
      <c r="G27" s="531"/>
    </row>
    <row r="28" spans="1:18">
      <c r="A28" s="117"/>
      <c r="B28" s="117"/>
      <c r="C28" s="117"/>
      <c r="D28" s="489">
        <v>2007</v>
      </c>
      <c r="E28" s="489">
        <v>2008</v>
      </c>
      <c r="F28" s="489">
        <v>2009</v>
      </c>
      <c r="G28" s="489">
        <v>2010</v>
      </c>
    </row>
    <row r="29" spans="1:18" ht="11.25" customHeight="1">
      <c r="A29" s="633" t="s">
        <v>8</v>
      </c>
      <c r="B29" s="633"/>
      <c r="C29" s="633"/>
      <c r="D29" s="108"/>
      <c r="E29" s="108"/>
      <c r="F29" s="108"/>
      <c r="G29" s="108"/>
    </row>
    <row r="30" spans="1:18" ht="12" customHeight="1">
      <c r="A30" s="635" t="s">
        <v>846</v>
      </c>
      <c r="B30" s="635"/>
      <c r="C30" s="635"/>
      <c r="D30" s="108">
        <v>23.2</v>
      </c>
      <c r="E30" s="135">
        <v>25.1</v>
      </c>
      <c r="F30" s="108">
        <v>24.4</v>
      </c>
      <c r="G30" s="108">
        <v>28.6</v>
      </c>
    </row>
    <row r="31" spans="1:18" ht="12" customHeight="1">
      <c r="A31" s="635" t="s">
        <v>847</v>
      </c>
      <c r="B31" s="635"/>
      <c r="C31" s="635"/>
      <c r="D31" s="108">
        <v>16.7</v>
      </c>
      <c r="E31" s="108">
        <v>14.7</v>
      </c>
      <c r="F31" s="108">
        <v>16.5</v>
      </c>
      <c r="G31" s="108">
        <v>19.7</v>
      </c>
    </row>
    <row r="32" spans="1:18" ht="12" customHeight="1">
      <c r="A32" s="635" t="s">
        <v>775</v>
      </c>
      <c r="B32" s="635"/>
      <c r="C32" s="635"/>
      <c r="D32" s="108">
        <v>5.4</v>
      </c>
      <c r="E32" s="108">
        <v>3.9</v>
      </c>
      <c r="F32" s="108">
        <v>3.3</v>
      </c>
      <c r="G32" s="108">
        <v>3.8</v>
      </c>
    </row>
    <row r="33" spans="1:7" ht="12.75" customHeight="1" thickBot="1">
      <c r="A33" s="634" t="s">
        <v>282</v>
      </c>
      <c r="B33" s="634"/>
      <c r="C33" s="634"/>
      <c r="D33" s="356">
        <v>45.3</v>
      </c>
      <c r="E33" s="356">
        <f>SUM(E30:E32)</f>
        <v>43.699999999999996</v>
      </c>
      <c r="F33" s="356">
        <f>SUM(F30:F32)</f>
        <v>44.199999999999996</v>
      </c>
      <c r="G33" s="356">
        <f>SUM(G30:G32)</f>
        <v>52.099999999999994</v>
      </c>
    </row>
    <row r="34" spans="1:7" ht="21.75" customHeight="1">
      <c r="A34" s="633" t="s">
        <v>946</v>
      </c>
      <c r="B34" s="633"/>
      <c r="C34" s="633"/>
      <c r="D34" s="109"/>
      <c r="E34" s="109"/>
      <c r="F34" s="109"/>
      <c r="G34" s="109"/>
    </row>
    <row r="35" spans="1:7" ht="12" customHeight="1">
      <c r="A35" s="635" t="s">
        <v>846</v>
      </c>
      <c r="B35" s="635"/>
      <c r="C35" s="635"/>
      <c r="D35" s="359">
        <v>304319</v>
      </c>
      <c r="E35" s="359">
        <v>378182</v>
      </c>
      <c r="F35" s="359">
        <v>297885</v>
      </c>
      <c r="G35" s="359">
        <v>412208</v>
      </c>
    </row>
    <row r="36" spans="1:7" ht="12" customHeight="1">
      <c r="A36" s="635" t="s">
        <v>847</v>
      </c>
      <c r="B36" s="635"/>
      <c r="C36" s="635"/>
      <c r="D36" s="359">
        <v>183167</v>
      </c>
      <c r="E36" s="359">
        <v>229794</v>
      </c>
      <c r="F36" s="359">
        <v>206669</v>
      </c>
      <c r="G36" s="359">
        <v>260835</v>
      </c>
    </row>
    <row r="37" spans="1:7" ht="12" customHeight="1">
      <c r="A37" s="635" t="s">
        <v>775</v>
      </c>
      <c r="B37" s="635"/>
      <c r="C37" s="635"/>
      <c r="D37" s="359">
        <v>42181</v>
      </c>
      <c r="E37" s="359">
        <v>44980</v>
      </c>
      <c r="F37" s="359">
        <v>35951</v>
      </c>
      <c r="G37" s="359">
        <v>36042</v>
      </c>
    </row>
    <row r="38" spans="1:7" ht="12.75" customHeight="1" thickBot="1">
      <c r="A38" s="634" t="s">
        <v>282</v>
      </c>
      <c r="B38" s="634"/>
      <c r="C38" s="634"/>
      <c r="D38" s="358">
        <v>529667</v>
      </c>
      <c r="E38" s="358">
        <v>652956</v>
      </c>
      <c r="F38" s="358">
        <v>540505</v>
      </c>
      <c r="G38" s="358">
        <f>SUM(G35:G37)</f>
        <v>709085</v>
      </c>
    </row>
    <row r="39" spans="1:7" ht="21.75" customHeight="1">
      <c r="A39" s="633" t="s">
        <v>947</v>
      </c>
      <c r="B39" s="633"/>
      <c r="C39" s="633"/>
      <c r="D39" s="108"/>
      <c r="E39" s="108"/>
      <c r="F39" s="108"/>
      <c r="G39" s="108"/>
    </row>
    <row r="40" spans="1:7" ht="12" customHeight="1">
      <c r="A40" s="635" t="s">
        <v>846</v>
      </c>
      <c r="B40" s="635"/>
      <c r="C40" s="635"/>
      <c r="D40" s="263">
        <f>ROUND(D35/Macroeconomics!E$9,0)</f>
        <v>12396</v>
      </c>
      <c r="E40" s="263">
        <f>ROUNDUP(E35/Macroeconomics!F$9,0)</f>
        <v>12873</v>
      </c>
      <c r="F40" s="263">
        <f>ROUND(F35/Macroeconomics!G$9,0)</f>
        <v>9851</v>
      </c>
      <c r="G40" s="263">
        <f>ROUND(G35/Macroeconomics!H$9,0)</f>
        <v>13524</v>
      </c>
    </row>
    <row r="41" spans="1:7" ht="12" customHeight="1">
      <c r="A41" s="635" t="s">
        <v>847</v>
      </c>
      <c r="B41" s="635"/>
      <c r="C41" s="635"/>
      <c r="D41" s="263">
        <f>ROUND(D36/Macroeconomics!E$9,0)</f>
        <v>7461</v>
      </c>
      <c r="E41" s="263">
        <f>ROUND(E36/Macroeconomics!F$9,0)</f>
        <v>7821</v>
      </c>
      <c r="F41" s="263">
        <f>ROUND(F36/Macroeconomics!G$9,0)</f>
        <v>6834</v>
      </c>
      <c r="G41" s="263">
        <f>ROUND(G36/Macroeconomics!H$9,0)</f>
        <v>8558</v>
      </c>
    </row>
    <row r="42" spans="1:7" ht="12" customHeight="1">
      <c r="A42" s="635" t="s">
        <v>775</v>
      </c>
      <c r="B42" s="635"/>
      <c r="C42" s="635"/>
      <c r="D42" s="263">
        <f>ROUND(D37/Macroeconomics!E$9,0)</f>
        <v>1718</v>
      </c>
      <c r="E42" s="263">
        <f>ROUND(E37/Macroeconomics!F$9,0)</f>
        <v>1531</v>
      </c>
      <c r="F42" s="263">
        <f>ROUND(F37/Macroeconomics!G$9,0)</f>
        <v>1189</v>
      </c>
      <c r="G42" s="263">
        <f>ROUND(G37/Macroeconomics!H$9,0)</f>
        <v>1182</v>
      </c>
    </row>
    <row r="43" spans="1:7" ht="12.75" customHeight="1" thickBot="1">
      <c r="A43" s="634" t="s">
        <v>282</v>
      </c>
      <c r="B43" s="634"/>
      <c r="C43" s="634"/>
      <c r="D43" s="358">
        <f>ROUND(D38/Macroeconomics!E$9,0)</f>
        <v>21575</v>
      </c>
      <c r="E43" s="358">
        <f>ROUND(E38/Macroeconomics!F$9,0)</f>
        <v>22225</v>
      </c>
      <c r="F43" s="358">
        <f>ROUND(F38/Macroeconomics!G$9,0)</f>
        <v>17874</v>
      </c>
      <c r="G43" s="358">
        <f>ROUND(G38/Macroeconomics!H$9,0)</f>
        <v>23264</v>
      </c>
    </row>
    <row r="44" spans="1:7" ht="21.75" customHeight="1">
      <c r="A44" s="633" t="s">
        <v>948</v>
      </c>
      <c r="B44" s="633"/>
      <c r="C44" s="633"/>
      <c r="D44" s="108"/>
      <c r="E44" s="108"/>
      <c r="F44" s="108"/>
      <c r="G44" s="108"/>
    </row>
    <row r="45" spans="1:7" ht="12" customHeight="1">
      <c r="A45" s="635" t="s">
        <v>846</v>
      </c>
      <c r="B45" s="635"/>
      <c r="C45" s="635"/>
      <c r="D45" s="263">
        <f>ROUND(D35/Macroeconomics!E$13,0)</f>
        <v>8470</v>
      </c>
      <c r="E45" s="263">
        <f>ROUNDUP(E35/Macroeconomics!F$13,0)</f>
        <v>9127</v>
      </c>
      <c r="F45" s="263">
        <f>ROUND(F35/Macroeconomics!G$13,0)</f>
        <v>6865</v>
      </c>
      <c r="G45" s="263">
        <f>ROUNDDOWN(G35/Macroeconomics!H$13,0)</f>
        <v>10220</v>
      </c>
    </row>
    <row r="46" spans="1:7" ht="12" customHeight="1">
      <c r="A46" s="635" t="s">
        <v>847</v>
      </c>
      <c r="B46" s="635"/>
      <c r="C46" s="635"/>
      <c r="D46" s="263">
        <f>ROUND(D36/Macroeconomics!E$13,0)</f>
        <v>5098</v>
      </c>
      <c r="E46" s="263">
        <f>ROUND(E36/Macroeconomics!F$13,0)</f>
        <v>5545</v>
      </c>
      <c r="F46" s="263">
        <f>ROUND(F36/Macroeconomics!G$13,0)</f>
        <v>4763</v>
      </c>
      <c r="G46" s="263">
        <f>ROUND(G36/Macroeconomics!H$13,0)</f>
        <v>6468</v>
      </c>
    </row>
    <row r="47" spans="1:7" ht="12" customHeight="1">
      <c r="A47" s="635" t="s">
        <v>775</v>
      </c>
      <c r="B47" s="635"/>
      <c r="C47" s="635"/>
      <c r="D47" s="263">
        <f>ROUND(D37/Macroeconomics!E$13,0)</f>
        <v>1174</v>
      </c>
      <c r="E47" s="263">
        <f>ROUND(E37/Macroeconomics!F$13,0)</f>
        <v>1085</v>
      </c>
      <c r="F47" s="263">
        <f>ROUND(F37/Macroeconomics!G$13,0)</f>
        <v>829</v>
      </c>
      <c r="G47" s="263">
        <f>ROUND(G37/Macroeconomics!H$13,0)</f>
        <v>894</v>
      </c>
    </row>
    <row r="48" spans="1:7" ht="12.75" customHeight="1" thickBot="1">
      <c r="A48" s="636" t="s">
        <v>282</v>
      </c>
      <c r="B48" s="636"/>
      <c r="C48" s="636"/>
      <c r="D48" s="319">
        <f>ROUND(D38/Macroeconomics!E$13,0)</f>
        <v>14742</v>
      </c>
      <c r="E48" s="319">
        <f>ROUND(E38/Macroeconomics!F$13,0)</f>
        <v>15757</v>
      </c>
      <c r="F48" s="319">
        <f>ROUND(F38/Macroeconomics!G$13,0)</f>
        <v>12457</v>
      </c>
      <c r="G48" s="319">
        <f>ROUND(G38/Macroeconomics!H$13,0)</f>
        <v>17582</v>
      </c>
    </row>
    <row r="49" spans="1:7" ht="12" customHeight="1" thickTop="1">
      <c r="A49" s="74" t="s">
        <v>855</v>
      </c>
      <c r="B49" s="179"/>
      <c r="C49" s="179"/>
      <c r="D49" s="179"/>
      <c r="E49" s="179"/>
      <c r="F49" s="179"/>
      <c r="G49" s="179"/>
    </row>
    <row r="50" spans="1:7">
      <c r="A50" s="28"/>
      <c r="B50" s="28"/>
      <c r="C50" s="28"/>
      <c r="D50" s="28"/>
      <c r="E50" s="28"/>
      <c r="F50" s="28"/>
      <c r="G50" s="28"/>
    </row>
    <row r="51" spans="1:7">
      <c r="A51" s="530" t="s">
        <v>213</v>
      </c>
      <c r="B51" s="530"/>
      <c r="C51" s="530"/>
      <c r="D51" s="530"/>
      <c r="E51" s="530"/>
      <c r="F51" s="530"/>
      <c r="G51" s="20"/>
    </row>
  </sheetData>
  <sheetProtection password="CAF1" sheet="1" formatCells="0" formatColumns="0" formatRows="0" insertColumns="0" insertRows="0" insertHyperlinks="0" deleteColumns="0" deleteRows="0" sort="0" autoFilter="0" pivotTables="0"/>
  <mergeCells count="44">
    <mergeCell ref="A32:C32"/>
    <mergeCell ref="A37:C37"/>
    <mergeCell ref="A38:C38"/>
    <mergeCell ref="A39:C39"/>
    <mergeCell ref="A45:C45"/>
    <mergeCell ref="A40:C40"/>
    <mergeCell ref="A41:C41"/>
    <mergeCell ref="A34:C34"/>
    <mergeCell ref="A35:C35"/>
    <mergeCell ref="A36:C36"/>
    <mergeCell ref="A33:C33"/>
    <mergeCell ref="A31:C31"/>
    <mergeCell ref="A13:C13"/>
    <mergeCell ref="A14:C14"/>
    <mergeCell ref="A15:C15"/>
    <mergeCell ref="A16:C16"/>
    <mergeCell ref="A29:C29"/>
    <mergeCell ref="A30:C30"/>
    <mergeCell ref="A17:C17"/>
    <mergeCell ref="A19:C19"/>
    <mergeCell ref="A20:C20"/>
    <mergeCell ref="A22:C22"/>
    <mergeCell ref="A23:C23"/>
    <mergeCell ref="A51:F51"/>
    <mergeCell ref="A42:C42"/>
    <mergeCell ref="A43:C43"/>
    <mergeCell ref="A48:C48"/>
    <mergeCell ref="A44:C44"/>
    <mergeCell ref="A46:C46"/>
    <mergeCell ref="A47:C47"/>
    <mergeCell ref="A10:C10"/>
    <mergeCell ref="D27:G27"/>
    <mergeCell ref="A3:C4"/>
    <mergeCell ref="A9:C9"/>
    <mergeCell ref="A6:C6"/>
    <mergeCell ref="A7:C7"/>
    <mergeCell ref="A8:C8"/>
    <mergeCell ref="A5:C5"/>
    <mergeCell ref="A24:C24"/>
    <mergeCell ref="A11:C11"/>
    <mergeCell ref="A18:C18"/>
    <mergeCell ref="D3:G3"/>
    <mergeCell ref="A12:C12"/>
    <mergeCell ref="A21:C21"/>
  </mergeCells>
  <phoneticPr fontId="24" type="noConversion"/>
  <hyperlinks>
    <hyperlink ref="A51:F51"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25" max="6" man="1"/>
  </rowBreaks>
</worksheet>
</file>

<file path=xl/worksheets/sheet29.xml><?xml version="1.0" encoding="utf-8"?>
<worksheet xmlns="http://schemas.openxmlformats.org/spreadsheetml/2006/main" xmlns:r="http://schemas.openxmlformats.org/officeDocument/2006/relationships">
  <dimension ref="A1:R26"/>
  <sheetViews>
    <sheetView zoomScaleNormal="100" zoomScaleSheetLayoutView="100" workbookViewId="0"/>
  </sheetViews>
  <sheetFormatPr defaultColWidth="0" defaultRowHeight="13.2" zeroHeight="1"/>
  <cols>
    <col min="1" max="1" width="63.88671875" style="28" customWidth="1"/>
    <col min="2" max="3" width="4.44140625" style="28" hidden="1" customWidth="1"/>
    <col min="4" max="7" width="9.33203125" style="28" customWidth="1"/>
    <col min="8" max="16384" width="0" style="28" hidden="1"/>
  </cols>
  <sheetData>
    <row r="1" spans="1:7" ht="17.399999999999999">
      <c r="A1" s="48" t="s">
        <v>9</v>
      </c>
      <c r="B1" s="366"/>
      <c r="C1" s="366"/>
    </row>
    <row r="2" spans="1:7" ht="18.600000000000001" customHeight="1">
      <c r="A2" s="256" t="s">
        <v>10</v>
      </c>
      <c r="B2" s="453"/>
      <c r="C2" s="453"/>
    </row>
    <row r="3" spans="1:7" ht="13.2" customHeight="1">
      <c r="A3" s="454"/>
      <c r="B3" s="454"/>
      <c r="C3" s="454"/>
      <c r="D3" s="531" t="s">
        <v>700</v>
      </c>
      <c r="E3" s="531"/>
      <c r="F3" s="531"/>
      <c r="G3" s="531"/>
    </row>
    <row r="4" spans="1:7">
      <c r="A4" s="454"/>
      <c r="B4" s="454"/>
      <c r="C4" s="454"/>
      <c r="D4" s="489">
        <v>2007</v>
      </c>
      <c r="E4" s="489">
        <v>2008</v>
      </c>
      <c r="F4" s="489">
        <v>2009</v>
      </c>
      <c r="G4" s="489">
        <v>2010</v>
      </c>
    </row>
    <row r="5" spans="1:7">
      <c r="A5" s="40" t="s">
        <v>11</v>
      </c>
      <c r="B5" s="40"/>
      <c r="C5" s="40"/>
      <c r="D5" s="109">
        <v>32.200000000000003</v>
      </c>
      <c r="E5" s="136">
        <v>115.2</v>
      </c>
      <c r="F5" s="109">
        <v>147.69999999999999</v>
      </c>
      <c r="G5" s="109">
        <v>191.3</v>
      </c>
    </row>
    <row r="6" spans="1:7">
      <c r="A6" s="33" t="s">
        <v>12</v>
      </c>
      <c r="B6" s="40"/>
      <c r="C6" s="40"/>
      <c r="D6" s="455">
        <v>0</v>
      </c>
      <c r="E6" s="136">
        <v>7.1</v>
      </c>
      <c r="F6" s="136">
        <v>12</v>
      </c>
      <c r="G6" s="109">
        <v>29.2</v>
      </c>
    </row>
    <row r="7" spans="1:7">
      <c r="A7" s="265" t="s">
        <v>13</v>
      </c>
      <c r="B7" s="265"/>
      <c r="C7" s="265"/>
      <c r="D7" s="109">
        <v>29.4</v>
      </c>
      <c r="E7" s="136">
        <v>67</v>
      </c>
      <c r="F7" s="109">
        <v>73.5</v>
      </c>
      <c r="G7" s="109">
        <v>102.4</v>
      </c>
    </row>
    <row r="8" spans="1:7">
      <c r="A8" s="189" t="s">
        <v>12</v>
      </c>
      <c r="B8" s="265"/>
      <c r="C8" s="265"/>
      <c r="D8" s="455">
        <v>0</v>
      </c>
      <c r="E8" s="136">
        <v>0.6</v>
      </c>
      <c r="F8" s="109">
        <v>0.7</v>
      </c>
      <c r="G8" s="136">
        <v>1</v>
      </c>
    </row>
    <row r="9" spans="1:7" ht="15" customHeight="1">
      <c r="A9" s="52" t="s">
        <v>1167</v>
      </c>
      <c r="B9" s="52"/>
      <c r="C9" s="52"/>
      <c r="D9" s="108"/>
      <c r="E9" s="108"/>
      <c r="F9" s="108"/>
      <c r="G9" s="108"/>
    </row>
    <row r="10" spans="1:7">
      <c r="A10" s="283" t="s">
        <v>849</v>
      </c>
      <c r="B10" s="283"/>
      <c r="C10" s="283"/>
      <c r="D10" s="263">
        <v>49284</v>
      </c>
      <c r="E10" s="263">
        <v>134334</v>
      </c>
      <c r="F10" s="263">
        <v>195166</v>
      </c>
      <c r="G10" s="263">
        <v>297461</v>
      </c>
    </row>
    <row r="11" spans="1:7">
      <c r="A11" s="283" t="s">
        <v>14</v>
      </c>
      <c r="B11" s="283"/>
      <c r="C11" s="283"/>
      <c r="D11" s="263">
        <f>ROUND(D10/Macroeconomics!E$9,0)</f>
        <v>2007</v>
      </c>
      <c r="E11" s="263">
        <f>ROUND(E10/Macroeconomics!F9,0)</f>
        <v>4572</v>
      </c>
      <c r="F11" s="263">
        <f>ROUND(F10/Macroeconomics!G9,0)</f>
        <v>6454</v>
      </c>
      <c r="G11" s="263">
        <f>ROUND(G10/Macroeconomics!H9,0)</f>
        <v>9759</v>
      </c>
    </row>
    <row r="12" spans="1:7" ht="13.8" thickBot="1">
      <c r="A12" s="456" t="s">
        <v>15</v>
      </c>
      <c r="B12" s="456"/>
      <c r="C12" s="456"/>
      <c r="D12" s="281">
        <f>ROUND(D10/Macroeconomics!E$13,0)</f>
        <v>1372</v>
      </c>
      <c r="E12" s="281">
        <f>ROUND(E10/Macroeconomics!F13,0)</f>
        <v>3242</v>
      </c>
      <c r="F12" s="281">
        <f>ROUND(F10/Macroeconomics!G13,0)</f>
        <v>4498</v>
      </c>
      <c r="G12" s="281">
        <f>ROUND(G10/Macroeconomics!H13,0)</f>
        <v>7376</v>
      </c>
    </row>
    <row r="13" spans="1:7" ht="26.25" customHeight="1" thickTop="1">
      <c r="A13" s="529" t="s">
        <v>1168</v>
      </c>
      <c r="B13" s="529"/>
      <c r="C13" s="529"/>
      <c r="D13" s="529"/>
      <c r="E13" s="529"/>
      <c r="F13" s="529"/>
      <c r="G13" s="529"/>
    </row>
    <row r="14" spans="1:7" ht="14.4" customHeight="1">
      <c r="A14" s="528" t="s">
        <v>848</v>
      </c>
      <c r="B14" s="528"/>
      <c r="C14" s="528"/>
      <c r="D14" s="528"/>
      <c r="E14" s="528"/>
      <c r="F14" s="528"/>
      <c r="G14" s="528"/>
    </row>
    <row r="15" spans="1:7" ht="22.95" customHeight="1">
      <c r="A15" s="256" t="s">
        <v>16</v>
      </c>
      <c r="B15" s="453"/>
      <c r="C15" s="453"/>
    </row>
    <row r="16" spans="1:7" ht="13.2" customHeight="1">
      <c r="A16" s="454"/>
      <c r="B16" s="454"/>
      <c r="C16" s="454"/>
      <c r="D16" s="531" t="s">
        <v>700</v>
      </c>
      <c r="E16" s="531"/>
      <c r="F16" s="531"/>
      <c r="G16" s="531"/>
    </row>
    <row r="17" spans="1:18">
      <c r="A17" s="454"/>
      <c r="B17" s="454"/>
      <c r="C17" s="454"/>
      <c r="D17" s="489">
        <v>2007</v>
      </c>
      <c r="E17" s="489">
        <v>2008</v>
      </c>
      <c r="F17" s="489">
        <v>2009</v>
      </c>
      <c r="G17" s="489">
        <v>2010</v>
      </c>
    </row>
    <row r="18" spans="1:18" ht="13.8" thickBot="1">
      <c r="A18" s="63" t="s">
        <v>17</v>
      </c>
      <c r="B18" s="63"/>
      <c r="C18" s="63"/>
      <c r="D18" s="253">
        <v>106.1</v>
      </c>
      <c r="E18" s="253">
        <v>111.2</v>
      </c>
      <c r="F18" s="138">
        <v>66.5</v>
      </c>
      <c r="G18" s="138">
        <v>72.599999999999994</v>
      </c>
    </row>
    <row r="19" spans="1:18">
      <c r="A19" s="52" t="s">
        <v>18</v>
      </c>
      <c r="B19" s="52"/>
      <c r="C19" s="52"/>
      <c r="D19" s="108"/>
      <c r="E19" s="108"/>
      <c r="F19" s="108"/>
      <c r="G19" s="108"/>
    </row>
    <row r="20" spans="1:18">
      <c r="A20" s="283" t="s">
        <v>849</v>
      </c>
      <c r="B20" s="283"/>
      <c r="C20" s="283"/>
      <c r="D20" s="263">
        <v>41740</v>
      </c>
      <c r="E20" s="263">
        <v>63468</v>
      </c>
      <c r="F20" s="263">
        <v>47029</v>
      </c>
      <c r="G20" s="263">
        <v>62053</v>
      </c>
    </row>
    <row r="21" spans="1:18">
      <c r="A21" s="283" t="s">
        <v>19</v>
      </c>
      <c r="B21" s="283"/>
      <c r="C21" s="283"/>
      <c r="D21" s="263">
        <f>ROUND(D20/Macroeconomics!E$9,0)</f>
        <v>1700</v>
      </c>
      <c r="E21" s="263">
        <f>ROUND(E20/Macroeconomics!F$9,0)</f>
        <v>2160</v>
      </c>
      <c r="F21" s="263">
        <f>ROUND(F20/Macroeconomics!G$9,0)</f>
        <v>1555</v>
      </c>
      <c r="G21" s="263">
        <f>ROUND(G20/Macroeconomics!H$9,0)</f>
        <v>2036</v>
      </c>
    </row>
    <row r="22" spans="1:18" ht="13.8" thickBot="1">
      <c r="A22" s="456" t="s">
        <v>20</v>
      </c>
      <c r="B22" s="456"/>
      <c r="C22" s="456"/>
      <c r="D22" s="281">
        <f>ROUND(D20/Macroeconomics!E$13,0)</f>
        <v>1162</v>
      </c>
      <c r="E22" s="281">
        <f>ROUND(E20/Macroeconomics!F$13,0)</f>
        <v>1532</v>
      </c>
      <c r="F22" s="281">
        <f>ROUND(F20/Macroeconomics!G$13,0)</f>
        <v>1084</v>
      </c>
      <c r="G22" s="281">
        <f>ROUND(G20/Macroeconomics!H$13,0)</f>
        <v>1539</v>
      </c>
    </row>
    <row r="23" spans="1:18" ht="24" customHeight="1" thickTop="1">
      <c r="A23" s="529" t="s">
        <v>855</v>
      </c>
      <c r="B23" s="529"/>
      <c r="C23" s="529"/>
      <c r="D23" s="529"/>
      <c r="E23" s="529"/>
      <c r="F23" s="529"/>
      <c r="G23" s="529"/>
    </row>
    <row r="24" spans="1:18"/>
    <row r="25" spans="1:18">
      <c r="A25" s="603" t="s">
        <v>213</v>
      </c>
      <c r="B25" s="637"/>
      <c r="C25" s="637"/>
      <c r="D25" s="637"/>
      <c r="E25" s="637"/>
      <c r="F25" s="637"/>
      <c r="G25" s="457"/>
      <c r="H25" s="424"/>
      <c r="I25" s="424"/>
      <c r="J25" s="424"/>
      <c r="K25" s="424"/>
      <c r="L25" s="424"/>
      <c r="M25" s="424"/>
      <c r="N25" s="424"/>
      <c r="O25" s="424"/>
      <c r="P25" s="424"/>
      <c r="Q25" s="424"/>
      <c r="R25" s="424"/>
    </row>
    <row r="26" spans="1:18" ht="12.75" hidden="1" customHeight="1"/>
  </sheetData>
  <sheetProtection password="CAF1" sheet="1" formatCells="0" formatColumns="0" formatRows="0" insertColumns="0" insertRows="0" insertHyperlinks="0" deleteColumns="0" deleteRows="0" sort="0" autoFilter="0" pivotTables="0"/>
  <mergeCells count="6">
    <mergeCell ref="D3:G3"/>
    <mergeCell ref="D16:G16"/>
    <mergeCell ref="A25:F25"/>
    <mergeCell ref="A13:G13"/>
    <mergeCell ref="A14:G14"/>
    <mergeCell ref="A23:G23"/>
  </mergeCells>
  <phoneticPr fontId="24" type="noConversion"/>
  <hyperlinks>
    <hyperlink ref="A25:F25"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3.xml><?xml version="1.0" encoding="utf-8"?>
<worksheet xmlns="http://schemas.openxmlformats.org/spreadsheetml/2006/main" xmlns:r="http://schemas.openxmlformats.org/officeDocument/2006/relationships">
  <dimension ref="A1:K19"/>
  <sheetViews>
    <sheetView zoomScaleNormal="100" zoomScaleSheetLayoutView="120" workbookViewId="0"/>
  </sheetViews>
  <sheetFormatPr defaultColWidth="0" defaultRowHeight="13.2" zeroHeight="1" outlineLevelCol="1"/>
  <cols>
    <col min="1" max="1" width="63" style="2" customWidth="1"/>
    <col min="2" max="2" width="7.6640625" style="2" hidden="1" customWidth="1" outlineLevel="1"/>
    <col min="3" max="3" width="7.6640625" style="2" customWidth="1" collapsed="1"/>
    <col min="4" max="5" width="7.6640625" style="2" customWidth="1"/>
    <col min="6" max="6" width="6.88671875" style="2" customWidth="1"/>
    <col min="7" max="7" width="7.6640625" style="2" customWidth="1"/>
    <col min="8" max="16384" width="0" style="2" hidden="1"/>
  </cols>
  <sheetData>
    <row r="1" spans="1:11" ht="15.6">
      <c r="A1" s="27" t="s">
        <v>215</v>
      </c>
      <c r="B1" s="28"/>
      <c r="C1" s="28"/>
      <c r="D1" s="28"/>
      <c r="E1" s="28"/>
      <c r="F1" s="28"/>
      <c r="G1" s="28"/>
    </row>
    <row r="2" spans="1:11" ht="13.2" customHeight="1">
      <c r="A2" s="29"/>
      <c r="B2" s="531" t="s">
        <v>216</v>
      </c>
      <c r="C2" s="531"/>
      <c r="D2" s="531"/>
      <c r="E2" s="531"/>
      <c r="F2" s="531"/>
      <c r="G2" s="531"/>
      <c r="H2" s="21"/>
      <c r="I2" s="21"/>
      <c r="J2" s="21"/>
      <c r="K2" s="21"/>
    </row>
    <row r="3" spans="1:11">
      <c r="A3" s="29"/>
      <c r="B3" s="30">
        <v>2005</v>
      </c>
      <c r="C3" s="30">
        <v>2006</v>
      </c>
      <c r="D3" s="30">
        <v>2007</v>
      </c>
      <c r="E3" s="30">
        <v>2008</v>
      </c>
      <c r="F3" s="30">
        <v>2009</v>
      </c>
      <c r="G3" s="30">
        <v>2010</v>
      </c>
    </row>
    <row r="4" spans="1:11">
      <c r="A4" s="31" t="s">
        <v>217</v>
      </c>
      <c r="B4" s="32"/>
      <c r="C4" s="32"/>
      <c r="D4" s="32"/>
      <c r="E4" s="32"/>
      <c r="F4" s="32"/>
      <c r="G4" s="32"/>
    </row>
    <row r="5" spans="1:11">
      <c r="A5" s="33" t="s">
        <v>218</v>
      </c>
      <c r="B5" s="34">
        <v>0.16600000000000001</v>
      </c>
      <c r="C5" s="34" t="s">
        <v>546</v>
      </c>
      <c r="D5" s="34" t="s">
        <v>555</v>
      </c>
      <c r="E5" s="34" t="s">
        <v>565</v>
      </c>
      <c r="F5" s="34" t="s">
        <v>565</v>
      </c>
      <c r="G5" s="35" t="s">
        <v>583</v>
      </c>
    </row>
    <row r="6" spans="1:11">
      <c r="A6" s="33" t="s">
        <v>219</v>
      </c>
      <c r="B6" s="34">
        <v>0.185</v>
      </c>
      <c r="C6" s="34" t="s">
        <v>547</v>
      </c>
      <c r="D6" s="34" t="s">
        <v>556</v>
      </c>
      <c r="E6" s="34" t="s">
        <v>566</v>
      </c>
      <c r="F6" s="34" t="s">
        <v>572</v>
      </c>
      <c r="G6" s="35" t="s">
        <v>584</v>
      </c>
    </row>
    <row r="7" spans="1:11" ht="13.8" thickBot="1">
      <c r="A7" s="36" t="s">
        <v>220</v>
      </c>
      <c r="B7" s="37">
        <v>0.253</v>
      </c>
      <c r="C7" s="37" t="s">
        <v>548</v>
      </c>
      <c r="D7" s="37" t="s">
        <v>557</v>
      </c>
      <c r="E7" s="37" t="s">
        <v>567</v>
      </c>
      <c r="F7" s="38" t="s">
        <v>575</v>
      </c>
      <c r="G7" s="39" t="s">
        <v>585</v>
      </c>
    </row>
    <row r="8" spans="1:11">
      <c r="A8" s="40" t="s">
        <v>221</v>
      </c>
      <c r="B8" s="32"/>
      <c r="C8" s="32"/>
      <c r="D8" s="32"/>
      <c r="E8" s="32"/>
      <c r="F8" s="41"/>
      <c r="G8" s="41"/>
    </row>
    <row r="9" spans="1:11">
      <c r="A9" s="42" t="s">
        <v>222</v>
      </c>
      <c r="B9" s="34">
        <v>0.60899999999999999</v>
      </c>
      <c r="C9" s="34" t="s">
        <v>549</v>
      </c>
      <c r="D9" s="34" t="s">
        <v>558</v>
      </c>
      <c r="E9" s="34" t="s">
        <v>568</v>
      </c>
      <c r="F9" s="34" t="s">
        <v>576</v>
      </c>
      <c r="G9" s="35" t="s">
        <v>586</v>
      </c>
    </row>
    <row r="10" spans="1:11">
      <c r="A10" s="42" t="s">
        <v>223</v>
      </c>
      <c r="B10" s="34">
        <v>0.86599999999999999</v>
      </c>
      <c r="C10" s="34" t="s">
        <v>550</v>
      </c>
      <c r="D10" s="34" t="s">
        <v>559</v>
      </c>
      <c r="E10" s="34" t="s">
        <v>569</v>
      </c>
      <c r="F10" s="34" t="s">
        <v>577</v>
      </c>
      <c r="G10" s="35" t="s">
        <v>587</v>
      </c>
    </row>
    <row r="11" spans="1:11">
      <c r="A11" s="42" t="s">
        <v>224</v>
      </c>
      <c r="B11" s="34">
        <v>4.4999999999999998E-2</v>
      </c>
      <c r="C11" s="34" t="s">
        <v>551</v>
      </c>
      <c r="D11" s="34" t="s">
        <v>560</v>
      </c>
      <c r="E11" s="34" t="s">
        <v>570</v>
      </c>
      <c r="F11" s="34" t="s">
        <v>578</v>
      </c>
      <c r="G11" s="35" t="s">
        <v>588</v>
      </c>
    </row>
    <row r="12" spans="1:11">
      <c r="A12" s="42" t="s">
        <v>225</v>
      </c>
      <c r="B12" s="34">
        <v>0.78400000000000003</v>
      </c>
      <c r="C12" s="34" t="s">
        <v>552</v>
      </c>
      <c r="D12" s="34" t="s">
        <v>561</v>
      </c>
      <c r="E12" s="34" t="s">
        <v>571</v>
      </c>
      <c r="F12" s="34" t="s">
        <v>579</v>
      </c>
      <c r="G12" s="35" t="s">
        <v>589</v>
      </c>
    </row>
    <row r="13" spans="1:11">
      <c r="A13" s="42" t="s">
        <v>226</v>
      </c>
      <c r="B13" s="34">
        <v>4.9000000000000002E-2</v>
      </c>
      <c r="C13" s="34" t="s">
        <v>553</v>
      </c>
      <c r="D13" s="34" t="s">
        <v>562</v>
      </c>
      <c r="E13" s="34" t="s">
        <v>572</v>
      </c>
      <c r="F13" s="34" t="s">
        <v>580</v>
      </c>
      <c r="G13" s="35" t="s">
        <v>555</v>
      </c>
    </row>
    <row r="14" spans="1:11">
      <c r="A14" s="42" t="s">
        <v>227</v>
      </c>
      <c r="B14" s="43">
        <v>0</v>
      </c>
      <c r="C14" s="43">
        <v>0</v>
      </c>
      <c r="D14" s="43" t="s">
        <v>563</v>
      </c>
      <c r="E14" s="43" t="s">
        <v>573</v>
      </c>
      <c r="F14" s="43" t="s">
        <v>581</v>
      </c>
      <c r="G14" s="35" t="s">
        <v>590</v>
      </c>
    </row>
    <row r="15" spans="1:11" ht="13.8" thickBot="1">
      <c r="A15" s="42" t="s">
        <v>228</v>
      </c>
      <c r="B15" s="44">
        <v>155</v>
      </c>
      <c r="C15" s="44" t="s">
        <v>554</v>
      </c>
      <c r="D15" s="44" t="s">
        <v>564</v>
      </c>
      <c r="E15" s="44" t="s">
        <v>574</v>
      </c>
      <c r="F15" s="44" t="s">
        <v>582</v>
      </c>
      <c r="G15" s="45" t="s">
        <v>591</v>
      </c>
    </row>
    <row r="16" spans="1:11" ht="35.25" customHeight="1" thickTop="1">
      <c r="A16" s="529" t="s">
        <v>230</v>
      </c>
      <c r="B16" s="529"/>
      <c r="C16" s="529"/>
      <c r="D16" s="529"/>
      <c r="E16" s="529"/>
      <c r="F16" s="529"/>
      <c r="G16" s="28"/>
    </row>
    <row r="17" spans="1:7" ht="14.25" customHeight="1">
      <c r="A17" s="528" t="s">
        <v>229</v>
      </c>
      <c r="B17" s="528"/>
      <c r="C17" s="528"/>
      <c r="D17" s="528"/>
      <c r="E17" s="528"/>
      <c r="F17" s="528"/>
      <c r="G17" s="28"/>
    </row>
    <row r="18" spans="1:7">
      <c r="A18" s="47"/>
      <c r="B18" s="28"/>
      <c r="C18" s="28"/>
      <c r="D18" s="28"/>
      <c r="E18" s="28"/>
      <c r="F18" s="28"/>
      <c r="G18" s="28"/>
    </row>
    <row r="19" spans="1:7">
      <c r="A19" s="530" t="s">
        <v>213</v>
      </c>
      <c r="B19" s="530" t="s">
        <v>213</v>
      </c>
      <c r="C19" s="530" t="s">
        <v>213</v>
      </c>
      <c r="D19" s="530" t="s">
        <v>213</v>
      </c>
      <c r="E19" s="530" t="s">
        <v>213</v>
      </c>
      <c r="F19" s="530" t="s">
        <v>213</v>
      </c>
    </row>
  </sheetData>
  <sheetProtection password="CAF1" sheet="1" formatCells="0" formatColumns="0" formatRows="0" insertColumns="0" insertRows="0" insertHyperlinks="0" deleteColumns="0" deleteRows="0" sort="0" autoFilter="0" pivotTables="0"/>
  <mergeCells count="4">
    <mergeCell ref="A17:F17"/>
    <mergeCell ref="A16:F16"/>
    <mergeCell ref="A19:F19"/>
    <mergeCell ref="B2:G2"/>
  </mergeCells>
  <phoneticPr fontId="7" type="noConversion"/>
  <hyperlinks>
    <hyperlink ref="A19" location="Титул!A1" display="Вернуться к Содержанию"/>
    <hyperlink ref="A19:F19" location="Contents!A1" display="Back to the Contents"/>
  </hyperlinks>
  <pageMargins left="0.25" right="0.25" top="0.75" bottom="0.75" header="0.3" footer="0.3"/>
  <pageSetup paperSize="9" firstPageNumber="3"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30.xml><?xml version="1.0" encoding="utf-8"?>
<worksheet xmlns="http://schemas.openxmlformats.org/spreadsheetml/2006/main" xmlns:r="http://schemas.openxmlformats.org/officeDocument/2006/relationships">
  <dimension ref="A1:R43"/>
  <sheetViews>
    <sheetView zoomScaleNormal="100" zoomScaleSheetLayoutView="100" workbookViewId="0"/>
  </sheetViews>
  <sheetFormatPr defaultColWidth="0" defaultRowHeight="13.2" zeroHeight="1" outlineLevelCol="1"/>
  <cols>
    <col min="1" max="1" width="55.6640625" style="28" customWidth="1"/>
    <col min="2" max="2" width="9" style="28" hidden="1" customWidth="1" outlineLevel="1"/>
    <col min="3" max="3" width="9" style="28" customWidth="1" collapsed="1"/>
    <col min="4" max="7" width="9" style="28" customWidth="1"/>
    <col min="8" max="16384" width="0" style="28" hidden="1"/>
  </cols>
  <sheetData>
    <row r="1" spans="1:7" ht="15.6">
      <c r="A1" s="48" t="s">
        <v>21</v>
      </c>
    </row>
    <row r="2" spans="1:7" ht="17.25" customHeight="1">
      <c r="A2" s="256" t="s">
        <v>22</v>
      </c>
    </row>
    <row r="3" spans="1:7" ht="15" customHeight="1">
      <c r="A3" s="29"/>
      <c r="B3" s="145"/>
      <c r="C3" s="145"/>
      <c r="D3" s="145"/>
      <c r="E3" s="531" t="s">
        <v>23</v>
      </c>
      <c r="F3" s="531"/>
      <c r="G3" s="531"/>
    </row>
    <row r="4" spans="1:7">
      <c r="A4" s="29"/>
      <c r="B4" s="29"/>
      <c r="C4" s="29"/>
      <c r="D4" s="29"/>
      <c r="E4" s="29">
        <v>2008</v>
      </c>
      <c r="F4" s="29">
        <v>2009</v>
      </c>
      <c r="G4" s="29">
        <v>2010</v>
      </c>
    </row>
    <row r="5" spans="1:7">
      <c r="A5" s="622" t="s">
        <v>24</v>
      </c>
      <c r="B5" s="622"/>
      <c r="C5" s="622"/>
      <c r="D5" s="622"/>
      <c r="E5" s="360">
        <v>3340.7</v>
      </c>
      <c r="F5" s="360">
        <v>3391.1</v>
      </c>
      <c r="G5" s="360">
        <v>3225.3</v>
      </c>
    </row>
    <row r="6" spans="1:7">
      <c r="A6" s="640" t="s">
        <v>277</v>
      </c>
      <c r="B6" s="640"/>
      <c r="C6" s="640"/>
      <c r="D6" s="640"/>
      <c r="E6" s="108"/>
      <c r="F6" s="108"/>
      <c r="G6" s="108"/>
    </row>
    <row r="7" spans="1:7">
      <c r="A7" s="639" t="s">
        <v>25</v>
      </c>
      <c r="B7" s="639"/>
      <c r="C7" s="639"/>
      <c r="D7" s="639"/>
      <c r="E7" s="108">
        <v>785.5</v>
      </c>
      <c r="F7" s="108">
        <v>645.79999999999995</v>
      </c>
      <c r="G7" s="108">
        <v>666.8</v>
      </c>
    </row>
    <row r="8" spans="1:7">
      <c r="A8" s="639" t="s">
        <v>26</v>
      </c>
      <c r="B8" s="639"/>
      <c r="C8" s="639"/>
      <c r="D8" s="639"/>
      <c r="E8" s="108">
        <v>339.4</v>
      </c>
      <c r="F8" s="108">
        <v>335.3</v>
      </c>
      <c r="G8" s="108">
        <v>377.4</v>
      </c>
    </row>
    <row r="9" spans="1:7">
      <c r="A9" s="639" t="s">
        <v>27</v>
      </c>
      <c r="B9" s="639"/>
      <c r="C9" s="639"/>
      <c r="D9" s="639"/>
      <c r="E9" s="108">
        <v>248.6</v>
      </c>
      <c r="F9" s="108">
        <v>249.1</v>
      </c>
      <c r="G9" s="108">
        <v>296.10000000000002</v>
      </c>
    </row>
    <row r="10" spans="1:7" ht="13.8" thickBot="1">
      <c r="A10" s="641" t="s">
        <v>28</v>
      </c>
      <c r="B10" s="641"/>
      <c r="C10" s="641"/>
      <c r="D10" s="641"/>
      <c r="E10" s="132">
        <v>1712.4</v>
      </c>
      <c r="F10" s="132">
        <v>1859.8</v>
      </c>
      <c r="G10" s="132">
        <v>1589.1</v>
      </c>
    </row>
    <row r="11" spans="1:7">
      <c r="A11" s="621" t="s">
        <v>29</v>
      </c>
      <c r="B11" s="621"/>
      <c r="C11" s="621"/>
      <c r="D11" s="621"/>
      <c r="E11" s="360">
        <v>4115.8999999999996</v>
      </c>
      <c r="F11" s="360">
        <v>5336.3</v>
      </c>
      <c r="G11" s="360">
        <v>5701</v>
      </c>
    </row>
    <row r="12" spans="1:7">
      <c r="A12" s="640" t="s">
        <v>30</v>
      </c>
      <c r="B12" s="640"/>
      <c r="C12" s="640"/>
      <c r="D12" s="640"/>
      <c r="E12" s="107">
        <v>3895.1</v>
      </c>
      <c r="F12" s="107">
        <v>5175.8999999999996</v>
      </c>
      <c r="G12" s="107">
        <v>5364.1</v>
      </c>
    </row>
    <row r="13" spans="1:7" ht="24" customHeight="1">
      <c r="A13" s="639" t="s">
        <v>31</v>
      </c>
      <c r="B13" s="639"/>
      <c r="C13" s="639"/>
      <c r="D13" s="639"/>
      <c r="E13" s="361">
        <v>3853.1</v>
      </c>
      <c r="F13" s="361">
        <v>5031.3</v>
      </c>
      <c r="G13" s="361">
        <v>5348.9</v>
      </c>
    </row>
    <row r="14" spans="1:7">
      <c r="A14" s="622" t="s">
        <v>32</v>
      </c>
      <c r="B14" s="622"/>
      <c r="C14" s="622"/>
      <c r="D14" s="622"/>
      <c r="E14" s="360">
        <v>4084.5</v>
      </c>
      <c r="F14" s="360">
        <v>5210.8</v>
      </c>
      <c r="G14" s="360">
        <v>5600.3</v>
      </c>
    </row>
    <row r="15" spans="1:7" ht="13.8" thickBot="1">
      <c r="A15" s="642" t="s">
        <v>33</v>
      </c>
      <c r="B15" s="642"/>
      <c r="C15" s="642"/>
      <c r="D15" s="642"/>
      <c r="E15" s="259">
        <v>8.3000000000000007</v>
      </c>
      <c r="F15" s="259">
        <v>12.6</v>
      </c>
      <c r="G15" s="259">
        <v>9.8000000000000007</v>
      </c>
    </row>
    <row r="16" spans="1:7" ht="26.4" customHeight="1" thickTop="1">
      <c r="A16" s="256" t="s">
        <v>34</v>
      </c>
    </row>
    <row r="17" spans="1:18" ht="14.7" customHeight="1">
      <c r="A17" s="126"/>
      <c r="B17" s="145"/>
      <c r="C17" s="145"/>
      <c r="D17" s="145"/>
      <c r="E17" s="531" t="s">
        <v>23</v>
      </c>
      <c r="F17" s="531"/>
      <c r="G17" s="531"/>
    </row>
    <row r="18" spans="1:18">
      <c r="A18" s="126"/>
      <c r="B18" s="29"/>
      <c r="C18" s="29"/>
      <c r="D18" s="29"/>
      <c r="E18" s="489">
        <v>2008</v>
      </c>
      <c r="F18" s="489">
        <v>2009</v>
      </c>
      <c r="G18" s="489">
        <v>2010</v>
      </c>
    </row>
    <row r="19" spans="1:18">
      <c r="A19" s="362" t="s">
        <v>35</v>
      </c>
      <c r="B19" s="359"/>
      <c r="C19" s="359"/>
      <c r="D19" s="263"/>
      <c r="E19" s="107">
        <v>17162.3</v>
      </c>
      <c r="F19" s="107">
        <v>10376.5</v>
      </c>
      <c r="G19" s="107">
        <v>10289.799999999999</v>
      </c>
    </row>
    <row r="20" spans="1:18" ht="13.2" customHeight="1">
      <c r="A20" s="638" t="s">
        <v>656</v>
      </c>
      <c r="B20" s="638"/>
      <c r="C20" s="638"/>
      <c r="D20" s="638"/>
      <c r="E20" s="107">
        <v>1428.8</v>
      </c>
      <c r="F20" s="107">
        <v>962.7</v>
      </c>
      <c r="G20" s="107">
        <v>1243.2</v>
      </c>
    </row>
    <row r="21" spans="1:18">
      <c r="A21" s="363" t="s">
        <v>36</v>
      </c>
      <c r="B21" s="263"/>
      <c r="C21" s="263"/>
      <c r="D21" s="263"/>
      <c r="E21" s="107">
        <v>2678.8</v>
      </c>
      <c r="F21" s="107">
        <v>1218.4000000000001</v>
      </c>
      <c r="G21" s="107">
        <v>1234.4000000000001</v>
      </c>
    </row>
    <row r="22" spans="1:18" ht="24.75" customHeight="1">
      <c r="A22" s="528" t="s">
        <v>37</v>
      </c>
      <c r="B22" s="528"/>
      <c r="C22" s="528"/>
      <c r="D22" s="528"/>
      <c r="E22" s="107">
        <v>3493.7</v>
      </c>
      <c r="F22" s="107">
        <v>6323.6</v>
      </c>
      <c r="G22" s="107">
        <v>7744.4</v>
      </c>
    </row>
    <row r="23" spans="1:18" ht="13.8" thickBot="1">
      <c r="A23" s="275" t="s">
        <v>282</v>
      </c>
      <c r="B23" s="319"/>
      <c r="C23" s="319"/>
      <c r="D23" s="319"/>
      <c r="E23" s="261">
        <f>SUM(E19:E22)</f>
        <v>24763.599999999999</v>
      </c>
      <c r="F23" s="261">
        <f>SUM(F19:F22)</f>
        <v>18881.2</v>
      </c>
      <c r="G23" s="261">
        <f>SUM(G19:G22)</f>
        <v>20511.8</v>
      </c>
    </row>
    <row r="24" spans="1:18" ht="21.6" customHeight="1" thickTop="1">
      <c r="A24" s="256" t="s">
        <v>1169</v>
      </c>
    </row>
    <row r="25" spans="1:18" ht="13.2" customHeight="1">
      <c r="A25" s="153"/>
      <c r="B25" s="531" t="s">
        <v>23</v>
      </c>
      <c r="C25" s="531"/>
      <c r="D25" s="531"/>
      <c r="E25" s="531"/>
      <c r="F25" s="531"/>
      <c r="G25" s="531"/>
      <c r="H25" s="424"/>
      <c r="I25" s="424"/>
      <c r="J25" s="424"/>
      <c r="K25" s="424"/>
      <c r="L25" s="424"/>
      <c r="M25" s="424"/>
      <c r="N25" s="424"/>
      <c r="O25" s="424"/>
      <c r="P25" s="424"/>
      <c r="Q25" s="424"/>
      <c r="R25" s="424"/>
    </row>
    <row r="26" spans="1:18">
      <c r="A26" s="153"/>
      <c r="B26" s="29">
        <v>2005</v>
      </c>
      <c r="C26" s="489">
        <v>2006</v>
      </c>
      <c r="D26" s="489">
        <v>2007</v>
      </c>
      <c r="E26" s="489">
        <v>2008</v>
      </c>
      <c r="F26" s="489">
        <v>2009</v>
      </c>
      <c r="G26" s="489">
        <v>2010</v>
      </c>
    </row>
    <row r="27" spans="1:18">
      <c r="A27" s="144" t="s">
        <v>712</v>
      </c>
      <c r="B27" s="108"/>
      <c r="C27" s="108"/>
      <c r="D27" s="108"/>
      <c r="E27" s="108"/>
      <c r="F27" s="108"/>
      <c r="G27" s="108"/>
    </row>
    <row r="28" spans="1:18">
      <c r="A28" s="283" t="s">
        <v>38</v>
      </c>
      <c r="B28" s="107">
        <v>3362.5</v>
      </c>
      <c r="C28" s="107">
        <v>3603.5</v>
      </c>
      <c r="D28" s="107">
        <v>3062.8</v>
      </c>
      <c r="E28" s="107">
        <v>2357.4</v>
      </c>
      <c r="F28" s="107">
        <v>2179.3000000000002</v>
      </c>
      <c r="G28" s="107">
        <v>2307.6999999999998</v>
      </c>
    </row>
    <row r="29" spans="1:18" ht="13.8" thickBot="1">
      <c r="A29" s="364" t="s">
        <v>39</v>
      </c>
      <c r="B29" s="110">
        <v>3833.3</v>
      </c>
      <c r="C29" s="110">
        <v>4108</v>
      </c>
      <c r="D29" s="110">
        <v>3491.6</v>
      </c>
      <c r="E29" s="110">
        <v>2687.5</v>
      </c>
      <c r="F29" s="110">
        <v>2484.4</v>
      </c>
      <c r="G29" s="110">
        <v>2630.8</v>
      </c>
    </row>
    <row r="30" spans="1:18">
      <c r="A30" s="325" t="s">
        <v>40</v>
      </c>
      <c r="B30" s="252"/>
      <c r="C30" s="252"/>
      <c r="D30" s="252"/>
      <c r="E30" s="252"/>
      <c r="F30" s="252"/>
      <c r="G30" s="252"/>
    </row>
    <row r="31" spans="1:18">
      <c r="A31" s="364" t="s">
        <v>41</v>
      </c>
      <c r="B31" s="109">
        <v>546.4</v>
      </c>
      <c r="C31" s="109">
        <v>292.89999999999998</v>
      </c>
      <c r="D31" s="109">
        <v>271.89999999999998</v>
      </c>
      <c r="E31" s="109">
        <v>250.8</v>
      </c>
      <c r="F31" s="109">
        <v>171.6</v>
      </c>
      <c r="G31" s="109">
        <v>181.6</v>
      </c>
    </row>
    <row r="32" spans="1:18" ht="13.8" thickBot="1">
      <c r="A32" s="365" t="s">
        <v>42</v>
      </c>
      <c r="B32" s="138">
        <v>148</v>
      </c>
      <c r="C32" s="253">
        <v>95.2</v>
      </c>
      <c r="D32" s="253">
        <v>88.4</v>
      </c>
      <c r="E32" s="253">
        <v>81.5</v>
      </c>
      <c r="F32" s="253">
        <v>55.8</v>
      </c>
      <c r="G32" s="138">
        <v>59</v>
      </c>
    </row>
    <row r="33" spans="1:7">
      <c r="A33" s="144" t="s">
        <v>43</v>
      </c>
      <c r="B33" s="108"/>
      <c r="C33" s="108"/>
      <c r="D33" s="108"/>
      <c r="E33" s="108"/>
      <c r="F33" s="108"/>
      <c r="G33" s="108"/>
    </row>
    <row r="34" spans="1:7">
      <c r="A34" s="283" t="s">
        <v>44</v>
      </c>
      <c r="B34" s="108">
        <v>374.3</v>
      </c>
      <c r="C34" s="108">
        <v>231.7</v>
      </c>
      <c r="D34" s="108">
        <v>191.3</v>
      </c>
      <c r="E34" s="108">
        <v>204.3</v>
      </c>
      <c r="F34" s="108">
        <v>180.4</v>
      </c>
      <c r="G34" s="108">
        <v>200.2</v>
      </c>
    </row>
    <row r="35" spans="1:7">
      <c r="A35" s="283" t="s">
        <v>42</v>
      </c>
      <c r="B35" s="108">
        <v>46.8</v>
      </c>
      <c r="C35" s="108">
        <v>33.1</v>
      </c>
      <c r="D35" s="108">
        <v>27.3</v>
      </c>
      <c r="E35" s="108">
        <v>29.3</v>
      </c>
      <c r="F35" s="108">
        <v>25.8</v>
      </c>
      <c r="G35" s="108">
        <v>28.6</v>
      </c>
    </row>
    <row r="36" spans="1:7" ht="13.8" thickBot="1">
      <c r="A36" s="275" t="s">
        <v>45</v>
      </c>
      <c r="B36" s="142">
        <v>4028.1</v>
      </c>
      <c r="C36" s="261">
        <f>C29+C32+C35</f>
        <v>4236.3</v>
      </c>
      <c r="D36" s="261">
        <f>D29+D32+D35</f>
        <v>3607.3</v>
      </c>
      <c r="E36" s="261">
        <f>E29+E32+E35</f>
        <v>2798.3</v>
      </c>
      <c r="F36" s="261">
        <f>F29+F32+F35</f>
        <v>2566.0000000000005</v>
      </c>
      <c r="G36" s="261">
        <f>G29+G32+G35</f>
        <v>2718.4</v>
      </c>
    </row>
    <row r="37" spans="1:7" ht="12.75" customHeight="1" thickTop="1">
      <c r="A37" s="75" t="s">
        <v>46</v>
      </c>
      <c r="B37" s="110"/>
      <c r="C37" s="110"/>
      <c r="D37" s="110"/>
      <c r="E37" s="110"/>
      <c r="F37" s="110"/>
      <c r="G37" s="110"/>
    </row>
    <row r="38" spans="1:7" ht="28.95" customHeight="1">
      <c r="A38" s="256" t="s">
        <v>47</v>
      </c>
    </row>
    <row r="39" spans="1:7" ht="13.95" customHeight="1">
      <c r="A39" s="29"/>
      <c r="B39" s="145"/>
      <c r="C39" s="145"/>
      <c r="D39" s="145"/>
      <c r="E39" s="531" t="s">
        <v>23</v>
      </c>
      <c r="F39" s="531"/>
      <c r="G39" s="531"/>
    </row>
    <row r="40" spans="1:7">
      <c r="A40" s="29"/>
      <c r="B40" s="29"/>
      <c r="C40" s="29"/>
      <c r="D40" s="29"/>
      <c r="E40" s="489">
        <v>2008</v>
      </c>
      <c r="F40" s="489">
        <v>2009</v>
      </c>
      <c r="G40" s="489">
        <v>2010</v>
      </c>
    </row>
    <row r="41" spans="1:7" ht="13.8" thickBot="1">
      <c r="A41" s="69" t="s">
        <v>48</v>
      </c>
      <c r="B41" s="224"/>
      <c r="C41" s="224"/>
      <c r="D41" s="224"/>
      <c r="E41" s="224">
        <v>4.9000000000000004</v>
      </c>
      <c r="F41" s="224">
        <v>7.4</v>
      </c>
      <c r="G41" s="44">
        <v>7</v>
      </c>
    </row>
    <row r="42" spans="1:7" ht="13.8" thickTop="1"/>
    <row r="43" spans="1:7">
      <c r="A43" s="603" t="s">
        <v>213</v>
      </c>
      <c r="B43" s="603"/>
      <c r="C43" s="603"/>
      <c r="D43" s="603"/>
      <c r="E43" s="603"/>
      <c r="F43" s="603"/>
      <c r="G43" s="398"/>
    </row>
  </sheetData>
  <sheetProtection password="CAF1" sheet="1" formatCells="0" formatColumns="0" formatRows="0" insertColumns="0" insertRows="0" insertHyperlinks="0" deleteColumns="0" deleteRows="0" sort="0" autoFilter="0" pivotTables="0"/>
  <mergeCells count="18">
    <mergeCell ref="A43:F43"/>
    <mergeCell ref="A5:D5"/>
    <mergeCell ref="A6:D6"/>
    <mergeCell ref="A7:D7"/>
    <mergeCell ref="A10:D10"/>
    <mergeCell ref="A8:D8"/>
    <mergeCell ref="A14:D14"/>
    <mergeCell ref="A15:D15"/>
    <mergeCell ref="E3:G3"/>
    <mergeCell ref="E17:G17"/>
    <mergeCell ref="B25:G25"/>
    <mergeCell ref="E39:G39"/>
    <mergeCell ref="A20:D20"/>
    <mergeCell ref="A22:D22"/>
    <mergeCell ref="A9:D9"/>
    <mergeCell ref="A11:D11"/>
    <mergeCell ref="A12:D12"/>
    <mergeCell ref="A13:D13"/>
  </mergeCells>
  <phoneticPr fontId="24" type="noConversion"/>
  <hyperlinks>
    <hyperlink ref="A43:F43"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31.xml><?xml version="1.0" encoding="utf-8"?>
<worksheet xmlns="http://schemas.openxmlformats.org/spreadsheetml/2006/main" xmlns:r="http://schemas.openxmlformats.org/officeDocument/2006/relationships">
  <dimension ref="A1:R41"/>
  <sheetViews>
    <sheetView zoomScaleNormal="100" zoomScaleSheetLayoutView="100" workbookViewId="0"/>
  </sheetViews>
  <sheetFormatPr defaultColWidth="0" defaultRowHeight="13.2" zeroHeight="1" outlineLevelCol="1"/>
  <cols>
    <col min="1" max="1" width="56" style="28" customWidth="1"/>
    <col min="2" max="2" width="9" style="28" hidden="1" customWidth="1" outlineLevel="1"/>
    <col min="3" max="3" width="9" style="28" customWidth="1" collapsed="1"/>
    <col min="4" max="7" width="9" style="28" customWidth="1"/>
    <col min="8" max="16384" width="0" style="28" hidden="1"/>
  </cols>
  <sheetData>
    <row r="1" spans="1:7" ht="15.6">
      <c r="A1" s="48" t="s">
        <v>49</v>
      </c>
    </row>
    <row r="2" spans="1:7" ht="19.5" customHeight="1">
      <c r="A2" s="256" t="s">
        <v>50</v>
      </c>
    </row>
    <row r="3" spans="1:7" ht="13.2" customHeight="1">
      <c r="A3" s="29"/>
      <c r="B3" s="531" t="s">
        <v>23</v>
      </c>
      <c r="C3" s="531"/>
      <c r="D3" s="531"/>
      <c r="E3" s="531"/>
      <c r="F3" s="531"/>
      <c r="G3" s="531"/>
    </row>
    <row r="4" spans="1:7">
      <c r="A4" s="29"/>
      <c r="B4" s="29">
        <v>2005</v>
      </c>
      <c r="C4" s="489">
        <v>2006</v>
      </c>
      <c r="D4" s="489">
        <v>2007</v>
      </c>
      <c r="E4" s="489">
        <v>2008</v>
      </c>
      <c r="F4" s="489">
        <v>2009</v>
      </c>
      <c r="G4" s="489">
        <v>2010</v>
      </c>
    </row>
    <row r="5" spans="1:7" ht="13.8" thickBot="1">
      <c r="A5" s="237" t="s">
        <v>51</v>
      </c>
      <c r="B5" s="224">
        <v>396.8</v>
      </c>
      <c r="C5" s="224">
        <v>432.2</v>
      </c>
      <c r="D5" s="224">
        <v>436.1</v>
      </c>
      <c r="E5" s="224">
        <v>456.2</v>
      </c>
      <c r="F5" s="224">
        <v>383.4</v>
      </c>
      <c r="G5" s="224">
        <v>389.7</v>
      </c>
    </row>
    <row r="6" spans="1:7" ht="23.25" customHeight="1" thickTop="1">
      <c r="A6" s="256" t="s">
        <v>52</v>
      </c>
    </row>
    <row r="7" spans="1:7" ht="13.2" customHeight="1">
      <c r="A7" s="546"/>
      <c r="B7" s="145"/>
      <c r="C7" s="145"/>
      <c r="D7" s="145"/>
      <c r="E7" s="531" t="s">
        <v>23</v>
      </c>
      <c r="F7" s="531"/>
      <c r="G7" s="531"/>
    </row>
    <row r="8" spans="1:7">
      <c r="A8" s="546"/>
      <c r="B8" s="29"/>
      <c r="C8" s="29"/>
      <c r="D8" s="29"/>
      <c r="E8" s="489">
        <v>2008</v>
      </c>
      <c r="F8" s="489">
        <v>2009</v>
      </c>
      <c r="G8" s="489">
        <v>2010</v>
      </c>
    </row>
    <row r="9" spans="1:7" ht="27" customHeight="1">
      <c r="A9" s="144" t="s">
        <v>53</v>
      </c>
      <c r="B9" s="119"/>
      <c r="C9" s="119"/>
      <c r="D9" s="119"/>
      <c r="E9" s="119"/>
      <c r="F9" s="119"/>
      <c r="G9" s="119"/>
    </row>
    <row r="10" spans="1:7" ht="23.4" customHeight="1">
      <c r="A10" s="42" t="s">
        <v>54</v>
      </c>
      <c r="B10" s="108"/>
      <c r="C10" s="108"/>
      <c r="D10" s="108"/>
      <c r="E10" s="108">
        <v>234.6</v>
      </c>
      <c r="F10" s="108">
        <v>236.9</v>
      </c>
      <c r="G10" s="313">
        <v>219.3</v>
      </c>
    </row>
    <row r="11" spans="1:7">
      <c r="A11" s="42" t="s">
        <v>55</v>
      </c>
      <c r="B11" s="108"/>
      <c r="C11" s="108"/>
      <c r="D11" s="108"/>
      <c r="E11" s="108">
        <v>48.2</v>
      </c>
      <c r="F11" s="108">
        <v>62.2</v>
      </c>
      <c r="G11" s="313">
        <v>62.5</v>
      </c>
    </row>
    <row r="12" spans="1:7">
      <c r="A12" s="42" t="s">
        <v>56</v>
      </c>
      <c r="B12" s="108"/>
      <c r="C12" s="108"/>
      <c r="D12" s="108"/>
      <c r="E12" s="108">
        <v>93.5</v>
      </c>
      <c r="F12" s="108">
        <v>94.5</v>
      </c>
      <c r="G12" s="313">
        <v>118.8</v>
      </c>
    </row>
    <row r="13" spans="1:7" ht="13.8" thickBot="1">
      <c r="A13" s="31" t="s">
        <v>282</v>
      </c>
      <c r="B13" s="157"/>
      <c r="C13" s="157"/>
      <c r="D13" s="157"/>
      <c r="E13" s="157">
        <v>376.3</v>
      </c>
      <c r="F13" s="157">
        <v>393.6</v>
      </c>
      <c r="G13" s="458">
        <f>SUM(G10:G12)</f>
        <v>400.6</v>
      </c>
    </row>
    <row r="14" spans="1:7">
      <c r="A14" s="254" t="s">
        <v>57</v>
      </c>
      <c r="B14" s="252"/>
      <c r="C14" s="252"/>
      <c r="D14" s="252"/>
      <c r="E14" s="252"/>
      <c r="F14" s="252"/>
      <c r="G14" s="109"/>
    </row>
    <row r="15" spans="1:7">
      <c r="A15" s="459" t="s">
        <v>58</v>
      </c>
      <c r="B15" s="460"/>
      <c r="C15" s="460"/>
      <c r="D15" s="460"/>
      <c r="E15" s="38">
        <v>0.11600000000000001</v>
      </c>
      <c r="F15" s="38">
        <v>0.123</v>
      </c>
      <c r="G15" s="461">
        <v>0.122</v>
      </c>
    </row>
    <row r="16" spans="1:7">
      <c r="A16" s="459" t="s">
        <v>59</v>
      </c>
      <c r="B16" s="460"/>
      <c r="C16" s="460"/>
      <c r="D16" s="460"/>
      <c r="E16" s="38">
        <v>0.22600000000000001</v>
      </c>
      <c r="F16" s="38">
        <v>0.23499999999999999</v>
      </c>
      <c r="G16" s="461">
        <v>0.24299999999999999</v>
      </c>
    </row>
    <row r="17" spans="1:18">
      <c r="A17" s="459" t="s">
        <v>60</v>
      </c>
      <c r="B17" s="460"/>
      <c r="C17" s="460"/>
      <c r="D17" s="460"/>
      <c r="E17" s="38">
        <v>0.61799999999999999</v>
      </c>
      <c r="F17" s="38">
        <v>0.61599999999999999</v>
      </c>
      <c r="G17" s="461">
        <v>0.59399999999999997</v>
      </c>
    </row>
    <row r="18" spans="1:18" ht="13.8" thickBot="1">
      <c r="A18" s="399" t="s">
        <v>61</v>
      </c>
      <c r="B18" s="133"/>
      <c r="C18" s="133"/>
      <c r="D18" s="133"/>
      <c r="E18" s="37">
        <v>0.04</v>
      </c>
      <c r="F18" s="37">
        <v>2.5999999999999999E-2</v>
      </c>
      <c r="G18" s="462">
        <v>4.1000000000000002E-2</v>
      </c>
    </row>
    <row r="19" spans="1:18">
      <c r="A19" s="42" t="s">
        <v>62</v>
      </c>
      <c r="B19" s="246"/>
      <c r="C19" s="246"/>
      <c r="D19" s="246"/>
      <c r="E19" s="246"/>
      <c r="F19" s="246"/>
      <c r="G19" s="246"/>
    </row>
    <row r="20" spans="1:18">
      <c r="A20" s="257" t="s">
        <v>63</v>
      </c>
      <c r="B20" s="463"/>
      <c r="C20" s="463"/>
      <c r="D20" s="463"/>
      <c r="E20" s="464">
        <v>0.16700000000000001</v>
      </c>
      <c r="F20" s="464">
        <v>0.187</v>
      </c>
      <c r="G20" s="461">
        <v>0.183</v>
      </c>
    </row>
    <row r="21" spans="1:18">
      <c r="A21" s="257" t="s">
        <v>64</v>
      </c>
      <c r="B21" s="463"/>
      <c r="C21" s="463"/>
      <c r="D21" s="463"/>
      <c r="E21" s="464">
        <v>0.27100000000000002</v>
      </c>
      <c r="F21" s="464">
        <v>0.26600000000000001</v>
      </c>
      <c r="G21" s="461">
        <v>0.27300000000000002</v>
      </c>
    </row>
    <row r="22" spans="1:18">
      <c r="A22" s="257" t="s">
        <v>65</v>
      </c>
      <c r="B22" s="463"/>
      <c r="C22" s="463"/>
      <c r="D22" s="463"/>
      <c r="E22" s="464">
        <v>0.32800000000000001</v>
      </c>
      <c r="F22" s="464">
        <v>0.30599999999999999</v>
      </c>
      <c r="G22" s="461">
        <v>0.29799999999999999</v>
      </c>
    </row>
    <row r="23" spans="1:18" ht="13.8" thickBot="1">
      <c r="A23" s="465" t="s">
        <v>657</v>
      </c>
      <c r="B23" s="466"/>
      <c r="C23" s="466"/>
      <c r="D23" s="466"/>
      <c r="E23" s="467">
        <v>0.23400000000000001</v>
      </c>
      <c r="F23" s="467">
        <v>0.24099999999999999</v>
      </c>
      <c r="G23" s="468">
        <v>0.246</v>
      </c>
    </row>
    <row r="24" spans="1:18" ht="12.75" customHeight="1" thickTop="1">
      <c r="A24" s="469" t="s">
        <v>1115</v>
      </c>
    </row>
    <row r="25" spans="1:18" ht="21.75" customHeight="1">
      <c r="A25" s="251" t="s">
        <v>66</v>
      </c>
      <c r="B25" s="424"/>
      <c r="C25" s="424"/>
      <c r="D25" s="424"/>
      <c r="E25" s="424"/>
      <c r="F25" s="424"/>
      <c r="G25" s="424"/>
      <c r="H25" s="424"/>
      <c r="I25" s="424"/>
      <c r="J25" s="424"/>
      <c r="K25" s="424"/>
      <c r="L25" s="424"/>
      <c r="M25" s="424"/>
      <c r="N25" s="424"/>
      <c r="O25" s="424"/>
      <c r="P25" s="424"/>
      <c r="Q25" s="424"/>
      <c r="R25" s="424"/>
    </row>
    <row r="26" spans="1:18" ht="16.2" customHeight="1">
      <c r="A26" s="145"/>
      <c r="B26" s="145"/>
      <c r="C26" s="145"/>
      <c r="D26" s="145"/>
      <c r="E26" s="531" t="s">
        <v>23</v>
      </c>
      <c r="F26" s="531"/>
      <c r="G26" s="531"/>
    </row>
    <row r="27" spans="1:18">
      <c r="A27" s="145"/>
      <c r="B27" s="29"/>
      <c r="C27" s="29"/>
      <c r="D27" s="29"/>
      <c r="E27" s="489">
        <v>2008</v>
      </c>
      <c r="F27" s="489">
        <v>2009</v>
      </c>
      <c r="G27" s="489">
        <v>2010</v>
      </c>
    </row>
    <row r="28" spans="1:18">
      <c r="A28" s="46" t="s">
        <v>70</v>
      </c>
      <c r="B28" s="119"/>
      <c r="C28" s="212"/>
      <c r="D28" s="212"/>
      <c r="E28" s="119"/>
      <c r="F28" s="212"/>
      <c r="G28" s="212"/>
    </row>
    <row r="29" spans="1:18" ht="15.6" customHeight="1">
      <c r="A29" s="283" t="s">
        <v>67</v>
      </c>
      <c r="B29" s="470"/>
      <c r="C29" s="470"/>
      <c r="D29" s="470"/>
      <c r="E29" s="34">
        <v>0.79300000000000004</v>
      </c>
      <c r="F29" s="34">
        <v>0.80800000000000005</v>
      </c>
      <c r="G29" s="35">
        <v>0.79900000000000004</v>
      </c>
    </row>
    <row r="30" spans="1:18">
      <c r="A30" s="283" t="s">
        <v>68</v>
      </c>
      <c r="B30" s="470"/>
      <c r="C30" s="470"/>
      <c r="D30" s="470"/>
      <c r="E30" s="34">
        <v>0.183</v>
      </c>
      <c r="F30" s="34">
        <v>0.17</v>
      </c>
      <c r="G30" s="35">
        <v>0.153</v>
      </c>
    </row>
    <row r="31" spans="1:18" ht="13.8" thickBot="1">
      <c r="A31" s="364" t="s">
        <v>69</v>
      </c>
      <c r="B31" s="460"/>
      <c r="C31" s="460"/>
      <c r="D31" s="460"/>
      <c r="E31" s="38">
        <v>2.4E-2</v>
      </c>
      <c r="F31" s="38">
        <v>2.1999999999999999E-2</v>
      </c>
      <c r="G31" s="452">
        <v>4.8000000000000001E-2</v>
      </c>
    </row>
    <row r="32" spans="1:18" ht="13.8" thickTop="1">
      <c r="A32" s="471" t="s">
        <v>71</v>
      </c>
      <c r="B32" s="252"/>
      <c r="C32" s="252"/>
      <c r="D32" s="252"/>
      <c r="E32" s="472"/>
      <c r="F32" s="472"/>
      <c r="G32" s="472"/>
    </row>
    <row r="33" spans="1:7" ht="13.95" customHeight="1">
      <c r="A33" s="364" t="s">
        <v>67</v>
      </c>
      <c r="B33" s="460"/>
      <c r="C33" s="460"/>
      <c r="D33" s="460"/>
      <c r="E33" s="38">
        <v>0.75800000000000001</v>
      </c>
      <c r="F33" s="38">
        <v>0.78700000000000003</v>
      </c>
      <c r="G33" s="35">
        <v>0.76900000000000002</v>
      </c>
    </row>
    <row r="34" spans="1:7">
      <c r="A34" s="364" t="s">
        <v>68</v>
      </c>
      <c r="B34" s="460"/>
      <c r="C34" s="460"/>
      <c r="D34" s="460"/>
      <c r="E34" s="38">
        <v>0.20699999999999999</v>
      </c>
      <c r="F34" s="38">
        <v>0.184</v>
      </c>
      <c r="G34" s="35">
        <v>0.17199999999999999</v>
      </c>
    </row>
    <row r="35" spans="1:7" ht="13.8" thickBot="1">
      <c r="A35" s="365" t="s">
        <v>69</v>
      </c>
      <c r="B35" s="133"/>
      <c r="C35" s="133"/>
      <c r="D35" s="133"/>
      <c r="E35" s="37">
        <v>3.5000000000000003E-2</v>
      </c>
      <c r="F35" s="37">
        <v>2.9000000000000001E-2</v>
      </c>
      <c r="G35" s="452">
        <v>5.8999999999999997E-2</v>
      </c>
    </row>
    <row r="36" spans="1:7">
      <c r="A36" s="46" t="s">
        <v>72</v>
      </c>
      <c r="B36" s="108"/>
      <c r="C36" s="108"/>
      <c r="D36" s="108"/>
      <c r="E36" s="34"/>
      <c r="F36" s="34"/>
      <c r="G36" s="34"/>
    </row>
    <row r="37" spans="1:7" ht="12.6" customHeight="1">
      <c r="A37" s="283" t="s">
        <v>67</v>
      </c>
      <c r="B37" s="470"/>
      <c r="C37" s="470"/>
      <c r="D37" s="470"/>
      <c r="E37" s="34">
        <v>0.127</v>
      </c>
      <c r="F37" s="34">
        <v>0.13100000000000001</v>
      </c>
      <c r="G37" s="35">
        <v>0.14299999999999999</v>
      </c>
    </row>
    <row r="38" spans="1:7">
      <c r="A38" s="283" t="s">
        <v>68</v>
      </c>
      <c r="B38" s="470"/>
      <c r="C38" s="470"/>
      <c r="D38" s="470"/>
      <c r="E38" s="34">
        <v>0.25900000000000001</v>
      </c>
      <c r="F38" s="34">
        <v>0.26700000000000002</v>
      </c>
      <c r="G38" s="35">
        <v>0.27700000000000002</v>
      </c>
    </row>
    <row r="39" spans="1:7" ht="13.8" thickBot="1">
      <c r="A39" s="456" t="s">
        <v>69</v>
      </c>
      <c r="B39" s="473"/>
      <c r="C39" s="473"/>
      <c r="D39" s="473"/>
      <c r="E39" s="451">
        <v>0.61399999999999999</v>
      </c>
      <c r="F39" s="451">
        <v>0.60199999999999998</v>
      </c>
      <c r="G39" s="452">
        <v>0.57999999999999996</v>
      </c>
    </row>
    <row r="40" spans="1:7" ht="13.8" thickTop="1">
      <c r="A40" s="363" t="s">
        <v>73</v>
      </c>
    </row>
    <row r="41" spans="1:7" ht="21.6" customHeight="1">
      <c r="A41" s="603" t="s">
        <v>213</v>
      </c>
      <c r="B41" s="603"/>
      <c r="C41" s="603"/>
      <c r="D41" s="603"/>
      <c r="E41" s="603"/>
      <c r="F41" s="603"/>
      <c r="G41" s="398"/>
    </row>
  </sheetData>
  <sheetProtection password="CAF1" sheet="1" formatCells="0" formatColumns="0" formatRows="0" insertColumns="0" insertRows="0" insertHyperlinks="0" deleteColumns="0" deleteRows="0" sort="0" autoFilter="0" pivotTables="0"/>
  <mergeCells count="5">
    <mergeCell ref="B3:G3"/>
    <mergeCell ref="A41:F41"/>
    <mergeCell ref="A7:A8"/>
    <mergeCell ref="E7:G7"/>
    <mergeCell ref="E26:G26"/>
  </mergeCells>
  <phoneticPr fontId="24" type="noConversion"/>
  <hyperlinks>
    <hyperlink ref="A41:F41"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32.xml><?xml version="1.0" encoding="utf-8"?>
<worksheet xmlns="http://schemas.openxmlformats.org/spreadsheetml/2006/main" xmlns:r="http://schemas.openxmlformats.org/officeDocument/2006/relationships">
  <dimension ref="A1:R24"/>
  <sheetViews>
    <sheetView zoomScaleNormal="100" zoomScaleSheetLayoutView="100" workbookViewId="0"/>
  </sheetViews>
  <sheetFormatPr defaultColWidth="0" defaultRowHeight="13.2" zeroHeight="1"/>
  <cols>
    <col min="1" max="1" width="41.88671875" style="28" customWidth="1"/>
    <col min="2" max="2" width="11.6640625" style="28" customWidth="1"/>
    <col min="3" max="3" width="47.44140625" style="28" customWidth="1"/>
    <col min="4" max="16384" width="0" style="28" hidden="1"/>
  </cols>
  <sheetData>
    <row r="1" spans="1:3" ht="17.399999999999999">
      <c r="A1" s="48" t="s">
        <v>74</v>
      </c>
      <c r="B1" s="366"/>
    </row>
    <row r="2" spans="1:3">
      <c r="A2" s="29" t="s">
        <v>233</v>
      </c>
      <c r="B2" s="531" t="s">
        <v>75</v>
      </c>
      <c r="C2" s="531"/>
    </row>
    <row r="3" spans="1:3">
      <c r="A3" s="367" t="s">
        <v>76</v>
      </c>
      <c r="B3" s="367">
        <v>35.316000000000003</v>
      </c>
      <c r="C3" s="367" t="s">
        <v>77</v>
      </c>
    </row>
    <row r="4" spans="1:3">
      <c r="A4" s="367" t="s">
        <v>78</v>
      </c>
      <c r="B4" s="367">
        <v>2.8000000000000001E-2</v>
      </c>
      <c r="C4" s="367" t="s">
        <v>79</v>
      </c>
    </row>
    <row r="5" spans="1:3">
      <c r="A5" s="643" t="s">
        <v>80</v>
      </c>
      <c r="B5" s="368">
        <v>1000</v>
      </c>
      <c r="C5" s="367" t="s">
        <v>81</v>
      </c>
    </row>
    <row r="6" spans="1:3">
      <c r="A6" s="643"/>
      <c r="B6" s="369">
        <v>2204.6</v>
      </c>
      <c r="C6" s="143" t="s">
        <v>82</v>
      </c>
    </row>
    <row r="7" spans="1:3">
      <c r="A7" s="643"/>
      <c r="B7" s="367">
        <v>7.33</v>
      </c>
      <c r="C7" s="367" t="s">
        <v>83</v>
      </c>
    </row>
    <row r="8" spans="1:3">
      <c r="A8" s="367" t="s">
        <v>84</v>
      </c>
      <c r="B8" s="367">
        <v>8.18</v>
      </c>
      <c r="C8" s="143" t="s">
        <v>85</v>
      </c>
    </row>
    <row r="9" spans="1:3">
      <c r="A9" s="367" t="s">
        <v>86</v>
      </c>
      <c r="B9" s="367">
        <v>0.13639999999999999</v>
      </c>
      <c r="C9" s="367" t="s">
        <v>87</v>
      </c>
    </row>
    <row r="10" spans="1:3">
      <c r="A10" s="367" t="s">
        <v>88</v>
      </c>
      <c r="B10" s="367">
        <v>0.1222</v>
      </c>
      <c r="C10" s="367" t="s">
        <v>89</v>
      </c>
    </row>
    <row r="11" spans="1:3">
      <c r="A11" s="367" t="s">
        <v>90</v>
      </c>
      <c r="B11" s="367">
        <v>0.62</v>
      </c>
      <c r="C11" s="92" t="s">
        <v>91</v>
      </c>
    </row>
    <row r="12" spans="1:3">
      <c r="A12" s="643" t="s">
        <v>92</v>
      </c>
      <c r="B12" s="367">
        <v>867</v>
      </c>
      <c r="C12" s="92" t="s">
        <v>93</v>
      </c>
    </row>
    <row r="13" spans="1:3">
      <c r="A13" s="643"/>
      <c r="B13" s="367">
        <v>0.7</v>
      </c>
      <c r="C13" s="367" t="s">
        <v>94</v>
      </c>
    </row>
    <row r="14" spans="1:3">
      <c r="A14" s="643"/>
      <c r="B14" s="367">
        <v>0.7</v>
      </c>
      <c r="C14" s="367" t="s">
        <v>95</v>
      </c>
    </row>
    <row r="15" spans="1:3">
      <c r="A15" s="367" t="s">
        <v>96</v>
      </c>
      <c r="B15" s="367">
        <v>1.1539999999999999</v>
      </c>
      <c r="C15" s="367" t="s">
        <v>97</v>
      </c>
    </row>
    <row r="16" spans="1:3">
      <c r="A16" s="367" t="s">
        <v>98</v>
      </c>
      <c r="B16" s="644">
        <v>1.43</v>
      </c>
      <c r="C16" s="644" t="s">
        <v>97</v>
      </c>
    </row>
    <row r="17" spans="1:18">
      <c r="A17" s="367" t="s">
        <v>84</v>
      </c>
      <c r="B17" s="644"/>
      <c r="C17" s="644"/>
    </row>
    <row r="18" spans="1:18">
      <c r="A18" s="367" t="s">
        <v>99</v>
      </c>
      <c r="B18" s="367">
        <v>1</v>
      </c>
      <c r="C18" s="92" t="s">
        <v>100</v>
      </c>
    </row>
    <row r="19" spans="1:18">
      <c r="A19" s="367" t="s">
        <v>96</v>
      </c>
      <c r="B19" s="367">
        <v>5.89</v>
      </c>
      <c r="C19" s="92" t="s">
        <v>101</v>
      </c>
    </row>
    <row r="20" spans="1:18" ht="13.8" thickBot="1">
      <c r="A20" s="370" t="s">
        <v>102</v>
      </c>
      <c r="B20" s="370">
        <v>1.36</v>
      </c>
      <c r="C20" s="371" t="s">
        <v>79</v>
      </c>
    </row>
    <row r="21" spans="1:18" ht="13.8" thickTop="1">
      <c r="A21" s="483" t="s">
        <v>213</v>
      </c>
      <c r="B21" s="482"/>
      <c r="C21" s="482"/>
      <c r="D21" s="482"/>
      <c r="E21" s="482"/>
      <c r="F21" s="482"/>
    </row>
    <row r="22" spans="1:18" hidden="1"/>
    <row r="23" spans="1:18" hidden="1"/>
    <row r="24" spans="1:18" ht="12.75" hidden="1" customHeight="1">
      <c r="B24" s="424"/>
      <c r="C24" s="424"/>
      <c r="D24" s="424"/>
      <c r="E24" s="424"/>
      <c r="F24" s="424"/>
      <c r="G24" s="424"/>
      <c r="H24" s="424"/>
      <c r="I24" s="424"/>
      <c r="J24" s="424"/>
      <c r="K24" s="424"/>
      <c r="L24" s="424"/>
      <c r="M24" s="424"/>
      <c r="N24" s="424"/>
      <c r="O24" s="424"/>
      <c r="P24" s="424"/>
      <c r="Q24" s="424"/>
      <c r="R24" s="424"/>
    </row>
  </sheetData>
  <sheetProtection password="CAF1" sheet="1" formatCells="0" formatColumns="0" formatRows="0" insertColumns="0" insertRows="0" insertHyperlinks="0" deleteColumns="0" deleteRows="0" sort="0" autoFilter="0" pivotTables="0"/>
  <mergeCells count="5">
    <mergeCell ref="B2:C2"/>
    <mergeCell ref="A12:A14"/>
    <mergeCell ref="A5:A7"/>
    <mergeCell ref="C16:C17"/>
    <mergeCell ref="B16:B17"/>
  </mergeCells>
  <phoneticPr fontId="24" type="noConversion"/>
  <hyperlinks>
    <hyperlink ref="A21"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33.xml><?xml version="1.0" encoding="utf-8"?>
<worksheet xmlns="http://schemas.openxmlformats.org/spreadsheetml/2006/main" xmlns:r="http://schemas.openxmlformats.org/officeDocument/2006/relationships">
  <dimension ref="A1:R43"/>
  <sheetViews>
    <sheetView zoomScaleNormal="100" zoomScaleSheetLayoutView="100" workbookViewId="0">
      <selection sqref="A1:B1"/>
    </sheetView>
  </sheetViews>
  <sheetFormatPr defaultColWidth="0" defaultRowHeight="13.2" zeroHeight="1"/>
  <cols>
    <col min="1" max="1" width="31.33203125" style="28" customWidth="1"/>
    <col min="2" max="2" width="69.6640625" style="28" customWidth="1"/>
    <col min="3" max="16384" width="0" style="28" hidden="1"/>
  </cols>
  <sheetData>
    <row r="1" spans="1:2" ht="15.6">
      <c r="A1" s="646" t="s">
        <v>175</v>
      </c>
      <c r="B1" s="646"/>
    </row>
    <row r="2" spans="1:2">
      <c r="A2" s="153" t="s">
        <v>173</v>
      </c>
      <c r="B2" s="153" t="s">
        <v>174</v>
      </c>
    </row>
    <row r="3" spans="1:2" ht="24" customHeight="1">
      <c r="A3" s="372" t="s">
        <v>103</v>
      </c>
      <c r="B3" s="372" t="s">
        <v>104</v>
      </c>
    </row>
    <row r="4" spans="1:2">
      <c r="A4" s="372" t="s">
        <v>321</v>
      </c>
      <c r="B4" s="372" t="s">
        <v>105</v>
      </c>
    </row>
    <row r="5" spans="1:2">
      <c r="A5" s="372" t="s">
        <v>1108</v>
      </c>
      <c r="B5" s="373" t="s">
        <v>192</v>
      </c>
    </row>
    <row r="6" spans="1:2">
      <c r="A6" s="372" t="s">
        <v>106</v>
      </c>
      <c r="B6" s="372" t="s">
        <v>107</v>
      </c>
    </row>
    <row r="7" spans="1:2">
      <c r="A7" s="372" t="s">
        <v>108</v>
      </c>
      <c r="B7" s="372" t="s">
        <v>109</v>
      </c>
    </row>
    <row r="8" spans="1:2">
      <c r="A8" s="372" t="s">
        <v>110</v>
      </c>
      <c r="B8" s="372" t="s">
        <v>111</v>
      </c>
    </row>
    <row r="9" spans="1:2">
      <c r="A9" s="372" t="s">
        <v>112</v>
      </c>
      <c r="B9" s="372" t="s">
        <v>113</v>
      </c>
    </row>
    <row r="10" spans="1:2">
      <c r="A10" s="372" t="s">
        <v>847</v>
      </c>
      <c r="B10" s="372" t="s">
        <v>114</v>
      </c>
    </row>
    <row r="11" spans="1:2">
      <c r="A11" s="372" t="s">
        <v>682</v>
      </c>
      <c r="B11" s="372" t="s">
        <v>115</v>
      </c>
    </row>
    <row r="12" spans="1:2">
      <c r="A12" s="372" t="s">
        <v>116</v>
      </c>
      <c r="B12" s="372" t="s">
        <v>117</v>
      </c>
    </row>
    <row r="13" spans="1:2">
      <c r="A13" s="372" t="s">
        <v>118</v>
      </c>
      <c r="B13" s="372" t="s">
        <v>119</v>
      </c>
    </row>
    <row r="14" spans="1:2">
      <c r="A14" s="372" t="s">
        <v>120</v>
      </c>
      <c r="B14" s="372" t="s">
        <v>121</v>
      </c>
    </row>
    <row r="15" spans="1:2">
      <c r="A15" s="374" t="s">
        <v>122</v>
      </c>
      <c r="B15" s="372" t="s">
        <v>123</v>
      </c>
    </row>
    <row r="16" spans="1:2" ht="12.6" customHeight="1">
      <c r="A16" s="372" t="s">
        <v>124</v>
      </c>
      <c r="B16" s="372" t="s">
        <v>125</v>
      </c>
    </row>
    <row r="17" spans="1:18">
      <c r="A17" s="372" t="s">
        <v>126</v>
      </c>
      <c r="B17" s="372" t="s">
        <v>127</v>
      </c>
    </row>
    <row r="18" spans="1:18">
      <c r="A18" s="372" t="s">
        <v>128</v>
      </c>
      <c r="B18" s="372" t="s">
        <v>129</v>
      </c>
    </row>
    <row r="19" spans="1:18">
      <c r="A19" s="372" t="s">
        <v>130</v>
      </c>
      <c r="B19" s="373" t="s">
        <v>131</v>
      </c>
    </row>
    <row r="20" spans="1:18">
      <c r="A20" s="372" t="s">
        <v>132</v>
      </c>
      <c r="B20" s="373" t="s">
        <v>133</v>
      </c>
    </row>
    <row r="21" spans="1:18" ht="21.6">
      <c r="A21" s="372" t="s">
        <v>134</v>
      </c>
      <c r="B21" s="373" t="s">
        <v>135</v>
      </c>
    </row>
    <row r="22" spans="1:18">
      <c r="A22" s="372" t="s">
        <v>136</v>
      </c>
      <c r="B22" s="372" t="s">
        <v>137</v>
      </c>
    </row>
    <row r="23" spans="1:18" ht="12.75" customHeight="1">
      <c r="A23" s="372" t="s">
        <v>138</v>
      </c>
      <c r="B23" s="372" t="s">
        <v>139</v>
      </c>
    </row>
    <row r="24" spans="1:18">
      <c r="A24" s="372" t="s">
        <v>140</v>
      </c>
      <c r="B24" s="372" t="s">
        <v>141</v>
      </c>
    </row>
    <row r="25" spans="1:18">
      <c r="A25" s="372" t="s">
        <v>142</v>
      </c>
      <c r="B25" s="375" t="s">
        <v>143</v>
      </c>
      <c r="C25" s="424"/>
      <c r="D25" s="424"/>
      <c r="E25" s="424"/>
      <c r="F25" s="424"/>
      <c r="G25" s="424"/>
      <c r="H25" s="424"/>
      <c r="I25" s="424"/>
      <c r="J25" s="424"/>
      <c r="K25" s="424"/>
      <c r="L25" s="424"/>
      <c r="M25" s="424"/>
      <c r="N25" s="424"/>
      <c r="O25" s="424"/>
      <c r="P25" s="424"/>
      <c r="Q25" s="424"/>
      <c r="R25" s="424"/>
    </row>
    <row r="26" spans="1:18">
      <c r="A26" s="372" t="s">
        <v>144</v>
      </c>
      <c r="B26" s="372" t="s">
        <v>145</v>
      </c>
    </row>
    <row r="27" spans="1:18">
      <c r="A27" s="372" t="s">
        <v>38</v>
      </c>
      <c r="B27" s="372" t="s">
        <v>146</v>
      </c>
    </row>
    <row r="28" spans="1:18">
      <c r="A28" s="645" t="s">
        <v>147</v>
      </c>
      <c r="B28" s="372" t="s">
        <v>148</v>
      </c>
    </row>
    <row r="29" spans="1:18" ht="112.2">
      <c r="A29" s="645"/>
      <c r="B29" s="372" t="s">
        <v>149</v>
      </c>
    </row>
    <row r="30" spans="1:18">
      <c r="A30" s="372" t="s">
        <v>150</v>
      </c>
      <c r="B30" s="372" t="s">
        <v>151</v>
      </c>
    </row>
    <row r="31" spans="1:18" ht="20.399999999999999">
      <c r="A31" s="372" t="s">
        <v>152</v>
      </c>
      <c r="B31" s="373" t="s">
        <v>153</v>
      </c>
    </row>
    <row r="32" spans="1:18">
      <c r="A32" s="372" t="s">
        <v>154</v>
      </c>
      <c r="B32" s="372" t="s">
        <v>155</v>
      </c>
    </row>
    <row r="33" spans="1:6">
      <c r="A33" s="372" t="s">
        <v>156</v>
      </c>
      <c r="B33" s="372" t="s">
        <v>157</v>
      </c>
    </row>
    <row r="34" spans="1:6">
      <c r="A34" s="372" t="s">
        <v>158</v>
      </c>
      <c r="B34" s="372" t="s">
        <v>159</v>
      </c>
    </row>
    <row r="35" spans="1:6" ht="20.399999999999999">
      <c r="A35" s="372" t="s">
        <v>160</v>
      </c>
      <c r="B35" s="372" t="s">
        <v>161</v>
      </c>
    </row>
    <row r="36" spans="1:6">
      <c r="A36" s="372" t="s">
        <v>97</v>
      </c>
      <c r="B36" s="372" t="s">
        <v>162</v>
      </c>
    </row>
    <row r="37" spans="1:6">
      <c r="A37" s="372" t="s">
        <v>163</v>
      </c>
      <c r="B37" s="372" t="s">
        <v>164</v>
      </c>
    </row>
    <row r="38" spans="1:6">
      <c r="A38" s="372" t="s">
        <v>165</v>
      </c>
      <c r="B38" s="372" t="s">
        <v>166</v>
      </c>
    </row>
    <row r="39" spans="1:6">
      <c r="A39" s="372" t="s">
        <v>167</v>
      </c>
      <c r="B39" s="372" t="s">
        <v>168</v>
      </c>
    </row>
    <row r="40" spans="1:6">
      <c r="A40" s="372" t="s">
        <v>169</v>
      </c>
      <c r="B40" s="372" t="s">
        <v>170</v>
      </c>
    </row>
    <row r="41" spans="1:6" ht="13.8" thickBot="1">
      <c r="A41" s="237" t="s">
        <v>171</v>
      </c>
      <c r="B41" s="308" t="s">
        <v>172</v>
      </c>
    </row>
    <row r="42" spans="1:6" ht="13.8" thickTop="1"/>
    <row r="43" spans="1:6">
      <c r="A43" s="481" t="s">
        <v>213</v>
      </c>
      <c r="B43" s="482"/>
      <c r="C43" s="482"/>
      <c r="D43" s="482"/>
      <c r="E43" s="482"/>
      <c r="F43" s="482"/>
    </row>
  </sheetData>
  <sheetProtection password="CAF1" sheet="1" objects="1" scenarios="1" formatCells="0" formatColumns="0" formatRows="0" insertColumns="0" insertRows="0" insertHyperlinks="0" deleteColumns="0" deleteRows="0" sort="0" autoFilter="0" pivotTables="0"/>
  <mergeCells count="2">
    <mergeCell ref="A28:A29"/>
    <mergeCell ref="A1:B1"/>
  </mergeCells>
  <phoneticPr fontId="24" type="noConversion"/>
  <hyperlinks>
    <hyperlink ref="A43" location="Contents!A1" display="Back to the Contents"/>
  </hyperlinks>
  <pageMargins left="0.25" right="0.25" top="0.75" bottom="0.75" header="0.3" footer="0.3"/>
  <pageSetup paperSize="9" firstPageNumber="8" orientation="portrait" useFirstPageNumber="1" r:id="rId1"/>
  <headerFooter alignWithMargins="0">
    <oddHeader>&amp;L&amp;"Times New Roman,полужирный"Gazprom in Figures 2006-2010&amp;R&amp;"Times New Roman,полужирный"Factbook</oddHeader>
    <oddFooter>&amp;C&amp;P</oddFooter>
  </headerFooter>
</worksheet>
</file>

<file path=xl/worksheets/sheet4.xml><?xml version="1.0" encoding="utf-8"?>
<worksheet xmlns="http://schemas.openxmlformats.org/spreadsheetml/2006/main" xmlns:r="http://schemas.openxmlformats.org/officeDocument/2006/relationships">
  <dimension ref="A1:I42"/>
  <sheetViews>
    <sheetView zoomScaleNormal="100" zoomScaleSheetLayoutView="100" workbookViewId="0"/>
  </sheetViews>
  <sheetFormatPr defaultColWidth="0" defaultRowHeight="13.2" zeroHeight="1" outlineLevelCol="1"/>
  <cols>
    <col min="1" max="1" width="50.44140625" style="4" customWidth="1"/>
    <col min="2" max="2" width="11.6640625" style="4" customWidth="1"/>
    <col min="3" max="3" width="7.6640625" style="4" hidden="1" customWidth="1" outlineLevel="1"/>
    <col min="4" max="4" width="7.6640625" style="4" customWidth="1" collapsed="1"/>
    <col min="5" max="8" width="7.6640625" style="4" customWidth="1"/>
    <col min="9" max="16384" width="0" style="4" hidden="1"/>
  </cols>
  <sheetData>
    <row r="1" spans="1:9" ht="15.6">
      <c r="A1" s="48" t="s">
        <v>231</v>
      </c>
      <c r="B1" s="49"/>
      <c r="C1" s="49"/>
      <c r="D1" s="49"/>
      <c r="E1" s="49"/>
      <c r="F1" s="49"/>
      <c r="G1" s="49"/>
      <c r="H1" s="49"/>
    </row>
    <row r="2" spans="1:9" ht="12.75" customHeight="1">
      <c r="A2" s="531" t="s">
        <v>232</v>
      </c>
      <c r="B2" s="533" t="s">
        <v>233</v>
      </c>
      <c r="C2" s="533" t="s">
        <v>216</v>
      </c>
      <c r="D2" s="533"/>
      <c r="E2" s="533"/>
      <c r="F2" s="533"/>
      <c r="G2" s="533"/>
      <c r="H2" s="533"/>
    </row>
    <row r="3" spans="1:9" s="5" customFormat="1">
      <c r="A3" s="531"/>
      <c r="B3" s="533"/>
      <c r="C3" s="51">
        <v>2005</v>
      </c>
      <c r="D3" s="51">
        <v>2006</v>
      </c>
      <c r="E3" s="51">
        <v>2007</v>
      </c>
      <c r="F3" s="51">
        <v>2008</v>
      </c>
      <c r="G3" s="51">
        <v>2009</v>
      </c>
      <c r="H3" s="51">
        <v>2010</v>
      </c>
    </row>
    <row r="4" spans="1:9">
      <c r="A4" s="52" t="s">
        <v>234</v>
      </c>
      <c r="B4" s="53" t="s">
        <v>1101</v>
      </c>
      <c r="C4" s="34">
        <v>0.109</v>
      </c>
      <c r="D4" s="34">
        <v>0.09</v>
      </c>
      <c r="E4" s="54">
        <v>0.11899999999999999</v>
      </c>
      <c r="F4" s="54">
        <v>0.13300000000000001</v>
      </c>
      <c r="G4" s="55">
        <v>8.7999999999999995E-2</v>
      </c>
      <c r="H4" s="392">
        <v>8.7999999999999995E-2</v>
      </c>
      <c r="I4" s="14"/>
    </row>
    <row r="5" spans="1:9" ht="13.8" thickBot="1">
      <c r="A5" s="40" t="s">
        <v>235</v>
      </c>
      <c r="B5" s="56" t="s">
        <v>1101</v>
      </c>
      <c r="C5" s="37">
        <v>0.13400000000000001</v>
      </c>
      <c r="D5" s="37">
        <v>0.104</v>
      </c>
      <c r="E5" s="57">
        <v>0.251</v>
      </c>
      <c r="F5" s="57">
        <v>-7.0000000000000007E-2</v>
      </c>
      <c r="G5" s="57">
        <v>0.13900000000000001</v>
      </c>
      <c r="H5" s="393">
        <v>0.16700000000000001</v>
      </c>
      <c r="I5" s="14"/>
    </row>
    <row r="6" spans="1:9" ht="21">
      <c r="A6" s="58" t="s">
        <v>236</v>
      </c>
      <c r="B6" s="53" t="s">
        <v>1101</v>
      </c>
      <c r="C6" s="54">
        <v>-3.1E-2</v>
      </c>
      <c r="D6" s="54">
        <v>9.6000000000000002E-2</v>
      </c>
      <c r="E6" s="54">
        <v>7.0000000000000007E-2</v>
      </c>
      <c r="F6" s="54">
        <v>-0.127</v>
      </c>
      <c r="G6" s="54">
        <v>-0.06</v>
      </c>
      <c r="H6" s="59">
        <v>-0.03</v>
      </c>
      <c r="I6" s="14"/>
    </row>
    <row r="7" spans="1:9" ht="25.95" customHeight="1">
      <c r="A7" s="52" t="s">
        <v>237</v>
      </c>
      <c r="B7" s="53" t="s">
        <v>1101</v>
      </c>
      <c r="C7" s="34">
        <v>3.9E-2</v>
      </c>
      <c r="D7" s="34">
        <v>0.16700000000000001</v>
      </c>
      <c r="E7" s="54">
        <v>0.15</v>
      </c>
      <c r="F7" s="54">
        <v>-1.0999999999999999E-2</v>
      </c>
      <c r="G7" s="54">
        <v>-4.0000000000000001E-3</v>
      </c>
      <c r="H7" s="392">
        <v>0.04</v>
      </c>
      <c r="I7" s="14"/>
    </row>
    <row r="8" spans="1:9" ht="14.4" customHeight="1">
      <c r="A8" s="52" t="s">
        <v>238</v>
      </c>
      <c r="B8" s="53" t="s">
        <v>239</v>
      </c>
      <c r="C8" s="60">
        <v>28.28</v>
      </c>
      <c r="D8" s="61">
        <v>27.18</v>
      </c>
      <c r="E8" s="61">
        <v>25.57</v>
      </c>
      <c r="F8" s="61">
        <v>24.81</v>
      </c>
      <c r="G8" s="61">
        <v>31.68</v>
      </c>
      <c r="H8" s="62">
        <v>30.36</v>
      </c>
      <c r="I8" s="14"/>
    </row>
    <row r="9" spans="1:9" ht="13.8" thickBot="1">
      <c r="A9" s="63" t="s">
        <v>240</v>
      </c>
      <c r="B9" s="56" t="s">
        <v>239</v>
      </c>
      <c r="C9" s="64">
        <v>28.78</v>
      </c>
      <c r="D9" s="64">
        <v>26.33</v>
      </c>
      <c r="E9" s="65">
        <v>24.55</v>
      </c>
      <c r="F9" s="65">
        <v>29.38</v>
      </c>
      <c r="G9" s="65">
        <v>30.24</v>
      </c>
      <c r="H9" s="66">
        <v>30.48</v>
      </c>
      <c r="I9" s="14"/>
    </row>
    <row r="10" spans="1:9" ht="21">
      <c r="A10" s="58" t="s">
        <v>241</v>
      </c>
      <c r="B10" s="53" t="s">
        <v>1101</v>
      </c>
      <c r="C10" s="54">
        <v>9.2999999999999999E-2</v>
      </c>
      <c r="D10" s="54">
        <v>-1.7000000000000001E-2</v>
      </c>
      <c r="E10" s="54">
        <v>-0.03</v>
      </c>
      <c r="F10" s="54">
        <v>-5.6000000000000001E-2</v>
      </c>
      <c r="G10" s="54">
        <v>-0.13400000000000001</v>
      </c>
      <c r="H10" s="514">
        <v>7.3999999999999996E-2</v>
      </c>
      <c r="I10" s="14"/>
    </row>
    <row r="11" spans="1:9" ht="25.5" customHeight="1">
      <c r="A11" s="52" t="s">
        <v>242</v>
      </c>
      <c r="B11" s="53" t="s">
        <v>1101</v>
      </c>
      <c r="C11" s="34">
        <v>0.188</v>
      </c>
      <c r="D11" s="34">
        <v>5.6000000000000001E-2</v>
      </c>
      <c r="E11" s="54">
        <v>5.8000000000000003E-2</v>
      </c>
      <c r="F11" s="54">
        <v>0.05</v>
      </c>
      <c r="G11" s="54">
        <v>-6.5000000000000002E-2</v>
      </c>
      <c r="H11" s="392">
        <v>0.14499999999999999</v>
      </c>
      <c r="I11" s="14"/>
    </row>
    <row r="12" spans="1:9">
      <c r="A12" s="52" t="s">
        <v>243</v>
      </c>
      <c r="B12" s="53" t="s">
        <v>245</v>
      </c>
      <c r="C12" s="60">
        <v>35.26</v>
      </c>
      <c r="D12" s="61">
        <v>34.11</v>
      </c>
      <c r="E12" s="61">
        <v>35.01</v>
      </c>
      <c r="F12" s="61">
        <v>36.409999999999997</v>
      </c>
      <c r="G12" s="61">
        <v>44.13</v>
      </c>
      <c r="H12" s="62">
        <v>40.270000000000003</v>
      </c>
      <c r="I12" s="14"/>
    </row>
    <row r="13" spans="1:9" ht="13.8" thickBot="1">
      <c r="A13" s="63" t="s">
        <v>244</v>
      </c>
      <c r="B13" s="56" t="s">
        <v>245</v>
      </c>
      <c r="C13" s="64">
        <v>34.19</v>
      </c>
      <c r="D13" s="64">
        <v>34.700000000000003</v>
      </c>
      <c r="E13" s="65">
        <v>35.93</v>
      </c>
      <c r="F13" s="65">
        <v>41.44</v>
      </c>
      <c r="G13" s="65">
        <v>43.39</v>
      </c>
      <c r="H13" s="66">
        <v>40.33</v>
      </c>
      <c r="I13" s="14"/>
    </row>
    <row r="14" spans="1:9">
      <c r="A14" s="52" t="s">
        <v>247</v>
      </c>
      <c r="B14" s="53" t="s">
        <v>246</v>
      </c>
      <c r="C14" s="67">
        <v>58.21</v>
      </c>
      <c r="D14" s="67">
        <v>58.93</v>
      </c>
      <c r="E14" s="66">
        <v>96.02</v>
      </c>
      <c r="F14" s="66">
        <v>36.549999999999997</v>
      </c>
      <c r="G14" s="66">
        <v>77.67</v>
      </c>
      <c r="H14" s="68">
        <v>92.54</v>
      </c>
      <c r="I14" s="14"/>
    </row>
    <row r="15" spans="1:9">
      <c r="A15" s="52" t="s">
        <v>248</v>
      </c>
      <c r="B15" s="53" t="s">
        <v>246</v>
      </c>
      <c r="C15" s="60">
        <v>53.61</v>
      </c>
      <c r="D15" s="60">
        <v>55.26</v>
      </c>
      <c r="E15" s="61">
        <v>93.09</v>
      </c>
      <c r="F15" s="61">
        <v>35.89</v>
      </c>
      <c r="G15" s="61">
        <v>77</v>
      </c>
      <c r="H15" s="62">
        <v>90.27</v>
      </c>
      <c r="I15" s="14"/>
    </row>
    <row r="16" spans="1:9">
      <c r="A16" s="52" t="s">
        <v>249</v>
      </c>
      <c r="B16" s="53" t="s">
        <v>246</v>
      </c>
      <c r="C16" s="60">
        <v>54.52</v>
      </c>
      <c r="D16" s="60">
        <v>65.14</v>
      </c>
      <c r="E16" s="61">
        <v>72.39</v>
      </c>
      <c r="F16" s="61">
        <v>97.28</v>
      </c>
      <c r="G16" s="61">
        <v>61.67</v>
      </c>
      <c r="H16" s="513">
        <v>79.5</v>
      </c>
      <c r="I16" s="14"/>
    </row>
    <row r="17" spans="1:9" ht="13.8" thickBot="1">
      <c r="A17" s="69" t="s">
        <v>250</v>
      </c>
      <c r="B17" s="70" t="s">
        <v>246</v>
      </c>
      <c r="C17" s="71">
        <v>50.59</v>
      </c>
      <c r="D17" s="71">
        <v>61.28</v>
      </c>
      <c r="E17" s="72">
        <v>69.28</v>
      </c>
      <c r="F17" s="72">
        <v>94.82</v>
      </c>
      <c r="G17" s="72">
        <v>61.18</v>
      </c>
      <c r="H17" s="73">
        <v>78.28</v>
      </c>
      <c r="I17" s="14"/>
    </row>
    <row r="18" spans="1:9" ht="13.95" customHeight="1" thickTop="1">
      <c r="A18" s="529" t="s">
        <v>251</v>
      </c>
      <c r="B18" s="529"/>
      <c r="C18" s="529"/>
      <c r="D18" s="529"/>
      <c r="E18" s="529"/>
      <c r="F18" s="529"/>
      <c r="G18" s="529"/>
      <c r="H18" s="49"/>
    </row>
    <row r="19" spans="1:9">
      <c r="A19" s="532" t="s">
        <v>252</v>
      </c>
      <c r="B19" s="532"/>
      <c r="C19" s="532"/>
      <c r="D19" s="532"/>
      <c r="E19" s="532"/>
      <c r="F19" s="532"/>
      <c r="G19" s="532"/>
      <c r="H19" s="49"/>
    </row>
    <row r="20" spans="1:9">
      <c r="A20" s="49"/>
      <c r="B20" s="49"/>
      <c r="C20" s="49"/>
      <c r="D20" s="49"/>
      <c r="E20" s="49"/>
      <c r="F20" s="49"/>
      <c r="G20" s="49"/>
      <c r="H20" s="49"/>
    </row>
    <row r="21" spans="1:9">
      <c r="A21" s="28"/>
      <c r="B21" s="49"/>
      <c r="C21" s="49"/>
      <c r="D21" s="49"/>
      <c r="E21" s="49"/>
      <c r="F21" s="49"/>
      <c r="G21" s="49"/>
      <c r="H21" s="49"/>
    </row>
    <row r="22" spans="1:9">
      <c r="A22" s="49"/>
      <c r="B22" s="49"/>
      <c r="C22" s="49"/>
      <c r="D22" s="49"/>
      <c r="E22" s="49"/>
      <c r="F22" s="49"/>
      <c r="G22" s="49"/>
      <c r="H22" s="49"/>
    </row>
    <row r="23" spans="1:9" ht="12.75" customHeight="1">
      <c r="A23" s="49"/>
      <c r="B23" s="49"/>
      <c r="C23" s="49"/>
      <c r="D23" s="49"/>
      <c r="E23" s="49"/>
      <c r="F23" s="49"/>
      <c r="G23" s="49"/>
      <c r="H23" s="49"/>
    </row>
    <row r="24" spans="1:9">
      <c r="A24" s="49"/>
      <c r="B24" s="49"/>
      <c r="C24" s="49"/>
      <c r="D24" s="49"/>
      <c r="E24" s="49"/>
      <c r="F24" s="49"/>
      <c r="G24" s="49"/>
      <c r="H24" s="49"/>
    </row>
    <row r="25" spans="1:9">
      <c r="A25" s="49"/>
      <c r="B25" s="49"/>
      <c r="C25" s="49"/>
      <c r="D25" s="49"/>
      <c r="E25" s="49"/>
      <c r="F25" s="49"/>
      <c r="G25" s="49"/>
      <c r="H25" s="49"/>
    </row>
    <row r="26" spans="1:9">
      <c r="A26" s="49"/>
      <c r="B26" s="49"/>
      <c r="C26" s="49"/>
      <c r="D26" s="49"/>
      <c r="E26" s="49"/>
      <c r="F26" s="49"/>
      <c r="G26" s="49"/>
      <c r="H26" s="49"/>
    </row>
    <row r="27" spans="1:9">
      <c r="A27" s="49"/>
      <c r="B27" s="49"/>
      <c r="C27" s="49"/>
      <c r="D27" s="49"/>
      <c r="E27" s="49"/>
      <c r="F27" s="49"/>
      <c r="G27" s="49"/>
      <c r="H27" s="49"/>
    </row>
    <row r="28" spans="1:9">
      <c r="A28" s="49"/>
      <c r="B28" s="49"/>
      <c r="C28" s="49"/>
      <c r="D28" s="49"/>
      <c r="E28" s="49"/>
      <c r="F28" s="49"/>
      <c r="G28" s="49"/>
      <c r="H28" s="49"/>
    </row>
    <row r="29" spans="1:9">
      <c r="A29" s="49"/>
      <c r="B29" s="49"/>
      <c r="C29" s="49"/>
      <c r="D29" s="49"/>
      <c r="E29" s="49"/>
      <c r="F29" s="49"/>
      <c r="G29" s="49"/>
      <c r="H29" s="49"/>
    </row>
    <row r="30" spans="1:9">
      <c r="A30" s="49"/>
      <c r="B30" s="49"/>
      <c r="C30" s="49"/>
      <c r="D30" s="49"/>
      <c r="E30" s="49"/>
      <c r="F30" s="49"/>
      <c r="G30" s="49"/>
      <c r="H30" s="49"/>
    </row>
    <row r="31" spans="1:9">
      <c r="A31" s="49"/>
      <c r="B31" s="49"/>
      <c r="C31" s="49"/>
      <c r="D31" s="49"/>
      <c r="E31" s="49"/>
      <c r="F31" s="49"/>
      <c r="G31" s="49"/>
      <c r="H31" s="49"/>
    </row>
    <row r="32" spans="1:9">
      <c r="A32" s="49"/>
      <c r="B32" s="49"/>
      <c r="C32" s="49"/>
      <c r="D32" s="49"/>
      <c r="E32" s="49"/>
      <c r="F32" s="49"/>
      <c r="G32" s="49"/>
      <c r="H32" s="49"/>
    </row>
    <row r="33" spans="1:8">
      <c r="A33" s="49"/>
      <c r="B33" s="49"/>
      <c r="C33" s="49"/>
      <c r="D33" s="49"/>
      <c r="E33" s="49"/>
      <c r="F33" s="49"/>
      <c r="G33" s="49"/>
      <c r="H33" s="49"/>
    </row>
    <row r="34" spans="1:8">
      <c r="A34" s="49"/>
      <c r="B34" s="49"/>
      <c r="C34" s="49"/>
      <c r="D34" s="49"/>
      <c r="E34" s="49"/>
      <c r="F34" s="49"/>
      <c r="G34" s="49"/>
      <c r="H34" s="49"/>
    </row>
    <row r="35" spans="1:8">
      <c r="A35" s="49"/>
      <c r="B35" s="49"/>
      <c r="C35" s="49"/>
      <c r="D35" s="49"/>
      <c r="E35" s="49"/>
      <c r="F35" s="49"/>
      <c r="G35" s="49"/>
      <c r="H35" s="49"/>
    </row>
    <row r="36" spans="1:8">
      <c r="A36" s="49"/>
      <c r="B36" s="49"/>
      <c r="C36" s="49"/>
      <c r="D36" s="49"/>
      <c r="E36" s="49"/>
      <c r="F36" s="49"/>
      <c r="G36" s="49"/>
      <c r="H36" s="49"/>
    </row>
    <row r="37" spans="1:8">
      <c r="A37" s="49"/>
      <c r="B37" s="49"/>
      <c r="C37" s="49"/>
      <c r="D37" s="49"/>
      <c r="E37" s="49"/>
      <c r="F37" s="49"/>
      <c r="G37" s="49"/>
      <c r="H37" s="49"/>
    </row>
    <row r="38" spans="1:8">
      <c r="A38" s="49"/>
      <c r="B38" s="49"/>
      <c r="C38" s="49"/>
      <c r="D38" s="49"/>
      <c r="E38" s="49"/>
      <c r="F38" s="49"/>
      <c r="G38" s="49"/>
      <c r="H38" s="49"/>
    </row>
    <row r="39" spans="1:8">
      <c r="A39" s="49"/>
      <c r="B39" s="49"/>
      <c r="C39" s="49"/>
      <c r="D39" s="49"/>
      <c r="E39" s="49"/>
      <c r="F39" s="49"/>
      <c r="G39" s="49"/>
      <c r="H39" s="49"/>
    </row>
    <row r="40" spans="1:8">
      <c r="A40" s="75"/>
      <c r="B40" s="49"/>
      <c r="C40" s="49"/>
      <c r="D40" s="49"/>
      <c r="E40" s="49"/>
      <c r="F40" s="49"/>
      <c r="G40" s="49"/>
      <c r="H40" s="49"/>
    </row>
    <row r="41" spans="1:8">
      <c r="A41" s="49"/>
      <c r="B41" s="49"/>
      <c r="C41" s="49"/>
      <c r="D41" s="49"/>
      <c r="E41" s="49"/>
      <c r="F41" s="49"/>
      <c r="G41" s="49"/>
      <c r="H41" s="49"/>
    </row>
    <row r="42" spans="1:8">
      <c r="A42" s="530" t="s">
        <v>213</v>
      </c>
      <c r="B42" s="530"/>
      <c r="C42" s="530"/>
      <c r="D42" s="530"/>
      <c r="E42" s="530"/>
      <c r="F42" s="530"/>
      <c r="G42" s="530"/>
    </row>
  </sheetData>
  <sheetProtection password="CAF1" sheet="1" formatCells="0" formatColumns="0" formatRows="0" insertColumns="0" insertRows="0" insertHyperlinks="0" deleteColumns="0" deleteRows="0" sort="0" autoFilter="0" pivotTables="0"/>
  <mergeCells count="6">
    <mergeCell ref="A42:G42"/>
    <mergeCell ref="A19:G19"/>
    <mergeCell ref="A18:G18"/>
    <mergeCell ref="A2:A3"/>
    <mergeCell ref="B2:B3"/>
    <mergeCell ref="C2:H2"/>
  </mergeCells>
  <phoneticPr fontId="7" type="noConversion"/>
  <hyperlinks>
    <hyperlink ref="A42:G42" location="Contents!A1" display="Back to the Contents"/>
  </hyperlinks>
  <pageMargins left="0.25" right="0.25" top="0.75" bottom="0.75" header="0.3" footer="0.3"/>
  <pageSetup paperSize="9" firstPageNumber="4" orientation="portrait" useFirstPageNumber="1" r:id="rId1"/>
  <headerFooter alignWithMargins="0">
    <oddHeader>&amp;L&amp;"Times New Roman,полужирный"Gazprom in Figures 2006-2010&amp;R&amp;"Times New Roman,полужирный"Factbook</oddHeader>
    <oddFooter>&amp;C&amp;P</oddFooter>
  </headerFooter>
  <drawing r:id="rId2"/>
</worksheet>
</file>

<file path=xl/worksheets/sheet5.xml><?xml version="1.0" encoding="utf-8"?>
<worksheet xmlns="http://schemas.openxmlformats.org/spreadsheetml/2006/main" xmlns:r="http://schemas.openxmlformats.org/officeDocument/2006/relationships">
  <dimension ref="A1:I55"/>
  <sheetViews>
    <sheetView zoomScaleNormal="100" zoomScaleSheetLayoutView="100" workbookViewId="0"/>
  </sheetViews>
  <sheetFormatPr defaultColWidth="0" defaultRowHeight="13.2" zeroHeight="1" outlineLevelCol="1"/>
  <cols>
    <col min="1" max="1" width="50.6640625" style="3" customWidth="1"/>
    <col min="2" max="2" width="12.6640625" style="2" customWidth="1"/>
    <col min="3" max="3" width="7.44140625" style="2" hidden="1" customWidth="1" outlineLevel="1"/>
    <col min="4" max="4" width="7.44140625" style="2" customWidth="1" collapsed="1"/>
    <col min="5" max="8" width="7.44140625" style="2" customWidth="1"/>
    <col min="9" max="16384" width="0" style="2" hidden="1"/>
  </cols>
  <sheetData>
    <row r="1" spans="1:8" ht="15.6">
      <c r="A1" s="23" t="s">
        <v>253</v>
      </c>
      <c r="B1" s="28"/>
      <c r="C1" s="28"/>
      <c r="D1" s="28"/>
      <c r="E1" s="28"/>
      <c r="F1" s="28"/>
      <c r="G1" s="28"/>
      <c r="H1" s="28"/>
    </row>
    <row r="2" spans="1:8" ht="12.75" customHeight="1">
      <c r="A2" s="535"/>
      <c r="B2" s="533" t="s">
        <v>233</v>
      </c>
      <c r="C2" s="533" t="s">
        <v>216</v>
      </c>
      <c r="D2" s="533"/>
      <c r="E2" s="533"/>
      <c r="F2" s="533"/>
      <c r="G2" s="533"/>
      <c r="H2" s="533"/>
    </row>
    <row r="3" spans="1:8">
      <c r="A3" s="535"/>
      <c r="B3" s="533"/>
      <c r="C3" s="51">
        <v>2005</v>
      </c>
      <c r="D3" s="51">
        <v>2006</v>
      </c>
      <c r="E3" s="51">
        <v>2007</v>
      </c>
      <c r="F3" s="51">
        <v>2008</v>
      </c>
      <c r="G3" s="51">
        <v>2009</v>
      </c>
      <c r="H3" s="51">
        <v>2010</v>
      </c>
    </row>
    <row r="4" spans="1:8">
      <c r="A4" s="52" t="s">
        <v>254</v>
      </c>
      <c r="B4" s="53"/>
      <c r="C4" s="53"/>
      <c r="D4" s="53"/>
      <c r="E4" s="53"/>
      <c r="F4" s="53"/>
      <c r="G4" s="53"/>
      <c r="H4" s="53"/>
    </row>
    <row r="5" spans="1:8">
      <c r="A5" s="42" t="s">
        <v>255</v>
      </c>
      <c r="B5" s="53" t="s">
        <v>261</v>
      </c>
      <c r="C5" s="61">
        <v>194.3</v>
      </c>
      <c r="D5" s="61">
        <v>302.89</v>
      </c>
      <c r="E5" s="61">
        <v>342.88</v>
      </c>
      <c r="F5" s="61">
        <v>108.6</v>
      </c>
      <c r="G5" s="61">
        <v>183.21</v>
      </c>
      <c r="H5" s="62">
        <v>193.62</v>
      </c>
    </row>
    <row r="6" spans="1:8">
      <c r="A6" s="42" t="s">
        <v>256</v>
      </c>
      <c r="B6" s="53" t="s">
        <v>261</v>
      </c>
      <c r="C6" s="61">
        <v>69.599999999999994</v>
      </c>
      <c r="D6" s="61">
        <v>216</v>
      </c>
      <c r="E6" s="61">
        <v>227.99</v>
      </c>
      <c r="F6" s="61">
        <v>86.6</v>
      </c>
      <c r="G6" s="61">
        <v>101.91</v>
      </c>
      <c r="H6" s="62">
        <v>142.84</v>
      </c>
    </row>
    <row r="7" spans="1:8" ht="13.8" thickBot="1">
      <c r="A7" s="36" t="s">
        <v>257</v>
      </c>
      <c r="B7" s="56" t="s">
        <v>261</v>
      </c>
      <c r="C7" s="65">
        <v>195</v>
      </c>
      <c r="D7" s="65">
        <v>350.25</v>
      </c>
      <c r="E7" s="65">
        <v>357.2</v>
      </c>
      <c r="F7" s="65">
        <v>367.4</v>
      </c>
      <c r="G7" s="65">
        <v>200.16</v>
      </c>
      <c r="H7" s="77">
        <v>197.34</v>
      </c>
    </row>
    <row r="8" spans="1:8">
      <c r="A8" s="52" t="s">
        <v>258</v>
      </c>
      <c r="B8" s="53"/>
      <c r="C8" s="78"/>
      <c r="D8" s="78"/>
      <c r="E8" s="78"/>
      <c r="F8" s="78"/>
      <c r="G8" s="78"/>
      <c r="H8" s="68"/>
    </row>
    <row r="9" spans="1:8">
      <c r="A9" s="42" t="s">
        <v>255</v>
      </c>
      <c r="B9" s="79" t="s">
        <v>262</v>
      </c>
      <c r="C9" s="61">
        <v>28.68</v>
      </c>
      <c r="D9" s="61">
        <v>46</v>
      </c>
      <c r="E9" s="61">
        <v>56.7</v>
      </c>
      <c r="F9" s="61">
        <v>14.25</v>
      </c>
      <c r="G9" s="61">
        <v>25.5</v>
      </c>
      <c r="H9" s="62">
        <v>25.25</v>
      </c>
    </row>
    <row r="10" spans="1:8">
      <c r="A10" s="42" t="s">
        <v>256</v>
      </c>
      <c r="B10" s="79" t="s">
        <v>262</v>
      </c>
      <c r="C10" s="61">
        <v>11.92</v>
      </c>
      <c r="D10" s="61">
        <v>29.48</v>
      </c>
      <c r="E10" s="61">
        <v>35.4</v>
      </c>
      <c r="F10" s="61">
        <v>11.91</v>
      </c>
      <c r="G10" s="61">
        <v>12.26</v>
      </c>
      <c r="H10" s="62">
        <v>18.059999999999999</v>
      </c>
    </row>
    <row r="11" spans="1:8" ht="13.8" thickBot="1">
      <c r="A11" s="33" t="s">
        <v>257</v>
      </c>
      <c r="B11" s="80" t="s">
        <v>262</v>
      </c>
      <c r="C11" s="65">
        <v>31.4</v>
      </c>
      <c r="D11" s="65">
        <v>52.64</v>
      </c>
      <c r="E11" s="65">
        <v>58.5</v>
      </c>
      <c r="F11" s="65">
        <v>62.5</v>
      </c>
      <c r="G11" s="65">
        <v>27.3</v>
      </c>
      <c r="H11" s="77">
        <v>26.64</v>
      </c>
    </row>
    <row r="12" spans="1:8" ht="24.75" customHeight="1">
      <c r="A12" s="58" t="s">
        <v>926</v>
      </c>
      <c r="B12" s="53" t="s">
        <v>260</v>
      </c>
      <c r="C12" s="81">
        <v>23674</v>
      </c>
      <c r="D12" s="81">
        <v>23674</v>
      </c>
      <c r="E12" s="81">
        <v>23674</v>
      </c>
      <c r="F12" s="81">
        <v>23674</v>
      </c>
      <c r="G12" s="81">
        <v>23674</v>
      </c>
      <c r="H12" s="82">
        <v>23674</v>
      </c>
    </row>
    <row r="13" spans="1:8" ht="23.25" customHeight="1">
      <c r="A13" s="52" t="s">
        <v>927</v>
      </c>
      <c r="B13" s="53" t="s">
        <v>260</v>
      </c>
      <c r="C13" s="81">
        <f>C12-C14</f>
        <v>23069</v>
      </c>
      <c r="D13" s="81">
        <f>D12-D14</f>
        <v>22988</v>
      </c>
      <c r="E13" s="81">
        <f>E12-E14</f>
        <v>23608</v>
      </c>
      <c r="F13" s="81">
        <f>F12-F14</f>
        <v>23644</v>
      </c>
      <c r="G13" s="81">
        <f>G12-G14</f>
        <v>22950</v>
      </c>
      <c r="H13" s="83">
        <v>22951</v>
      </c>
    </row>
    <row r="14" spans="1:8" ht="13.8" thickBot="1">
      <c r="A14" s="84" t="s">
        <v>259</v>
      </c>
      <c r="B14" s="80" t="s">
        <v>260</v>
      </c>
      <c r="C14" s="85">
        <v>605</v>
      </c>
      <c r="D14" s="85">
        <v>686</v>
      </c>
      <c r="E14" s="85">
        <v>66</v>
      </c>
      <c r="F14" s="85">
        <v>30</v>
      </c>
      <c r="G14" s="85">
        <v>724</v>
      </c>
      <c r="H14" s="77">
        <v>723</v>
      </c>
    </row>
    <row r="15" spans="1:8">
      <c r="A15" s="58" t="s">
        <v>263</v>
      </c>
      <c r="B15" s="53" t="s">
        <v>264</v>
      </c>
      <c r="C15" s="86">
        <v>160.30000000000001</v>
      </c>
      <c r="D15" s="86">
        <v>272</v>
      </c>
      <c r="E15" s="86">
        <v>330.9</v>
      </c>
      <c r="F15" s="86">
        <v>86</v>
      </c>
      <c r="G15" s="86">
        <v>144.5</v>
      </c>
      <c r="H15" s="68">
        <v>150.9</v>
      </c>
    </row>
    <row r="16" spans="1:8">
      <c r="A16" s="42" t="s">
        <v>265</v>
      </c>
      <c r="B16" s="53" t="s">
        <v>1101</v>
      </c>
      <c r="C16" s="54">
        <v>1.4179999999999999</v>
      </c>
      <c r="D16" s="54">
        <f>ROUND((D15-C15)/C15,3)</f>
        <v>0.69699999999999995</v>
      </c>
      <c r="E16" s="54">
        <f>ROUND((E15-D15)/D15,3)</f>
        <v>0.217</v>
      </c>
      <c r="F16" s="54">
        <f>ROUND((F15-E15)/E15,3)</f>
        <v>-0.74</v>
      </c>
      <c r="G16" s="54">
        <f>ROUND((G15-F15)/F15,3)</f>
        <v>0.68</v>
      </c>
      <c r="H16" s="392">
        <v>4.3999999999999997E-2</v>
      </c>
    </row>
    <row r="17" spans="1:9">
      <c r="A17" s="52" t="s">
        <v>266</v>
      </c>
      <c r="B17" s="53" t="s">
        <v>267</v>
      </c>
      <c r="C17" s="81">
        <v>1011</v>
      </c>
      <c r="D17" s="81">
        <v>1693</v>
      </c>
      <c r="E17" s="81">
        <v>1889</v>
      </c>
      <c r="F17" s="78">
        <v>620</v>
      </c>
      <c r="G17" s="81">
        <v>1370</v>
      </c>
      <c r="H17" s="83">
        <v>1688</v>
      </c>
    </row>
    <row r="18" spans="1:9">
      <c r="A18" s="42" t="s">
        <v>268</v>
      </c>
      <c r="B18" s="53" t="s">
        <v>1101</v>
      </c>
      <c r="C18" s="54">
        <v>0.83199999999999996</v>
      </c>
      <c r="D18" s="54">
        <f>ROUND((D17-C17)/C17,3)</f>
        <v>0.67500000000000004</v>
      </c>
      <c r="E18" s="54">
        <f>ROUND((E17-D17)/D17,3)</f>
        <v>0.11600000000000001</v>
      </c>
      <c r="F18" s="54">
        <f>ROUND((F17-E17)/E17,3)</f>
        <v>-0.67200000000000004</v>
      </c>
      <c r="G18" s="54">
        <f>ROUND((G17-F17)/F17,3)</f>
        <v>1.21</v>
      </c>
      <c r="H18" s="392">
        <v>0.23200000000000001</v>
      </c>
    </row>
    <row r="19" spans="1:9">
      <c r="A19" s="52" t="s">
        <v>269</v>
      </c>
      <c r="B19" s="53" t="s">
        <v>267</v>
      </c>
      <c r="C19" s="81">
        <v>1126</v>
      </c>
      <c r="D19" s="81">
        <v>1922</v>
      </c>
      <c r="E19" s="81">
        <v>2291</v>
      </c>
      <c r="F19" s="81">
        <v>632</v>
      </c>
      <c r="G19" s="87">
        <v>1445</v>
      </c>
      <c r="H19" s="83">
        <v>1770</v>
      </c>
    </row>
    <row r="20" spans="1:9" ht="13.8" thickBot="1">
      <c r="A20" s="36" t="s">
        <v>270</v>
      </c>
      <c r="B20" s="80" t="s">
        <v>1101</v>
      </c>
      <c r="C20" s="57">
        <v>0.85799999999999998</v>
      </c>
      <c r="D20" s="57">
        <f>ROUND((D19-C19)/C19,3)</f>
        <v>0.70699999999999996</v>
      </c>
      <c r="E20" s="57">
        <f>ROUND((E19-D19)/D19,3)</f>
        <v>0.192</v>
      </c>
      <c r="F20" s="57">
        <f>ROUND((F19-E19)/E19,3)</f>
        <v>-0.72399999999999998</v>
      </c>
      <c r="G20" s="57">
        <f>ROUND((G19-F19)/F19,3)</f>
        <v>1.286</v>
      </c>
      <c r="H20" s="393">
        <v>0.22500000000000001</v>
      </c>
    </row>
    <row r="21" spans="1:9">
      <c r="A21" s="52" t="s">
        <v>271</v>
      </c>
      <c r="B21" s="53" t="s">
        <v>260</v>
      </c>
      <c r="C21" s="78">
        <v>20.8</v>
      </c>
      <c r="D21" s="78">
        <v>49.2</v>
      </c>
      <c r="E21" s="78">
        <v>47.8</v>
      </c>
      <c r="F21" s="78">
        <v>67.2</v>
      </c>
      <c r="G21" s="78">
        <v>85.2</v>
      </c>
      <c r="H21" s="68">
        <v>56.4</v>
      </c>
    </row>
    <row r="22" spans="1:9" ht="13.8" thickBot="1">
      <c r="A22" s="63" t="s">
        <v>272</v>
      </c>
      <c r="B22" s="80" t="s">
        <v>273</v>
      </c>
      <c r="C22" s="63">
        <v>1.7</v>
      </c>
      <c r="D22" s="63">
        <v>4.4000000000000004</v>
      </c>
      <c r="E22" s="63">
        <v>7.2</v>
      </c>
      <c r="F22" s="63">
        <v>16.899999999999999</v>
      </c>
      <c r="G22" s="63">
        <v>12.6</v>
      </c>
      <c r="H22" s="77">
        <v>13.7</v>
      </c>
    </row>
    <row r="23" spans="1:9" ht="13.8" thickBot="1">
      <c r="A23" s="63" t="s">
        <v>274</v>
      </c>
      <c r="B23" s="80" t="s">
        <v>261</v>
      </c>
      <c r="C23" s="88">
        <v>1.5</v>
      </c>
      <c r="D23" s="88">
        <v>2.54</v>
      </c>
      <c r="E23" s="88">
        <v>2.66</v>
      </c>
      <c r="F23" s="88">
        <v>0.36</v>
      </c>
      <c r="G23" s="88">
        <v>2.39</v>
      </c>
      <c r="H23" s="68">
        <v>3.85</v>
      </c>
    </row>
    <row r="24" spans="1:9" ht="12.75" customHeight="1">
      <c r="A24" s="89" t="s">
        <v>275</v>
      </c>
      <c r="B24" s="90"/>
      <c r="C24" s="78"/>
      <c r="D24" s="78"/>
      <c r="E24" s="78"/>
      <c r="F24" s="78"/>
      <c r="G24" s="78"/>
      <c r="H24" s="91"/>
    </row>
    <row r="25" spans="1:9" ht="12.75" customHeight="1">
      <c r="A25" s="92" t="s">
        <v>276</v>
      </c>
      <c r="B25" s="90" t="s">
        <v>1101</v>
      </c>
      <c r="C25" s="93">
        <v>0.50002000000000002</v>
      </c>
      <c r="D25" s="93">
        <v>0.50002000000000002</v>
      </c>
      <c r="E25" s="93">
        <v>0.50002000000000002</v>
      </c>
      <c r="F25" s="93">
        <v>0.50002000000000002</v>
      </c>
      <c r="G25" s="93">
        <v>0.50002000000000002</v>
      </c>
      <c r="H25" s="93">
        <v>0.50002000000000002</v>
      </c>
    </row>
    <row r="26" spans="1:9" ht="12.75" customHeight="1">
      <c r="A26" s="92" t="s">
        <v>277</v>
      </c>
      <c r="B26" s="90"/>
      <c r="C26" s="93"/>
      <c r="D26" s="93"/>
      <c r="E26" s="93"/>
      <c r="F26" s="93"/>
      <c r="G26" s="93"/>
      <c r="H26" s="93"/>
    </row>
    <row r="27" spans="1:9">
      <c r="A27" s="94" t="s">
        <v>278</v>
      </c>
      <c r="B27" s="53" t="s">
        <v>1101</v>
      </c>
      <c r="C27" s="93">
        <v>0.38373000000000002</v>
      </c>
      <c r="D27" s="93">
        <v>0.38373000000000002</v>
      </c>
      <c r="E27" s="93">
        <v>0.38373000000000002</v>
      </c>
      <c r="F27" s="93">
        <v>0.38373000000000002</v>
      </c>
      <c r="G27" s="93">
        <v>0.38373000000000002</v>
      </c>
      <c r="H27" s="506">
        <v>0.38373000000000002</v>
      </c>
    </row>
    <row r="28" spans="1:9">
      <c r="A28" s="94" t="s">
        <v>279</v>
      </c>
      <c r="B28" s="53" t="s">
        <v>1101</v>
      </c>
      <c r="C28" s="93">
        <v>0.1074</v>
      </c>
      <c r="D28" s="93">
        <v>0.1074</v>
      </c>
      <c r="E28" s="93">
        <v>0.1074</v>
      </c>
      <c r="F28" s="93">
        <v>0.1074</v>
      </c>
      <c r="G28" s="93">
        <v>0.1074</v>
      </c>
      <c r="H28" s="506">
        <v>0.1074</v>
      </c>
      <c r="I28" s="15"/>
    </row>
    <row r="29" spans="1:9">
      <c r="A29" s="94" t="s">
        <v>280</v>
      </c>
      <c r="B29" s="53" t="s">
        <v>1101</v>
      </c>
      <c r="C29" s="93">
        <v>8.8900000000000003E-3</v>
      </c>
      <c r="D29" s="93">
        <v>8.8900000000000003E-3</v>
      </c>
      <c r="E29" s="93">
        <v>8.8900000000000003E-3</v>
      </c>
      <c r="F29" s="93">
        <v>8.8900000000000003E-3</v>
      </c>
      <c r="G29" s="93">
        <v>8.8900000000000003E-3</v>
      </c>
      <c r="H29" s="506">
        <v>8.8900000000000003E-3</v>
      </c>
    </row>
    <row r="30" spans="1:9" ht="21">
      <c r="A30" s="42" t="s">
        <v>928</v>
      </c>
      <c r="B30" s="53" t="s">
        <v>1101</v>
      </c>
      <c r="C30" s="93">
        <v>4.4220000000000002E-2</v>
      </c>
      <c r="D30" s="93">
        <v>0.13200000000000001</v>
      </c>
      <c r="E30" s="93">
        <v>0.2102</v>
      </c>
      <c r="F30" s="93">
        <v>0.2215</v>
      </c>
      <c r="G30" s="93">
        <v>0.24349999999999999</v>
      </c>
      <c r="H30" s="506">
        <v>0.2757</v>
      </c>
    </row>
    <row r="31" spans="1:9">
      <c r="A31" s="42" t="s">
        <v>281</v>
      </c>
      <c r="B31" s="53" t="s">
        <v>1101</v>
      </c>
      <c r="C31" s="93">
        <v>0.45576</v>
      </c>
      <c r="D31" s="93">
        <v>0.36797999999999997</v>
      </c>
      <c r="E31" s="93">
        <v>0.28977999999999998</v>
      </c>
      <c r="F31" s="93">
        <v>0.27848000000000001</v>
      </c>
      <c r="G31" s="93">
        <v>0.25647999999999999</v>
      </c>
      <c r="H31" s="506">
        <v>0.22428000000000001</v>
      </c>
    </row>
    <row r="32" spans="1:9" ht="13.8" thickBot="1">
      <c r="A32" s="69" t="s">
        <v>282</v>
      </c>
      <c r="B32" s="70" t="s">
        <v>1101</v>
      </c>
      <c r="C32" s="95">
        <f>SUM(C27:C31)</f>
        <v>1</v>
      </c>
      <c r="D32" s="95">
        <f>SUM(D27:D31)</f>
        <v>1</v>
      </c>
      <c r="E32" s="95">
        <f>SUM(E27:E31)</f>
        <v>1</v>
      </c>
      <c r="F32" s="95">
        <f>SUM(F27:F31)</f>
        <v>1</v>
      </c>
      <c r="G32" s="95">
        <f>SUM(G27:G31)</f>
        <v>1</v>
      </c>
      <c r="H32" s="96">
        <v>1</v>
      </c>
    </row>
    <row r="33" spans="1:8" ht="13.8" thickTop="1">
      <c r="A33" s="534" t="s">
        <v>283</v>
      </c>
      <c r="B33" s="534"/>
      <c r="C33" s="534"/>
      <c r="D33" s="534"/>
      <c r="E33" s="534"/>
      <c r="F33" s="534"/>
      <c r="G33" s="534"/>
      <c r="H33" s="28"/>
    </row>
    <row r="34" spans="1:8">
      <c r="A34" s="534" t="s">
        <v>659</v>
      </c>
      <c r="B34" s="534"/>
      <c r="C34" s="534"/>
      <c r="D34" s="534"/>
      <c r="E34" s="534"/>
      <c r="F34" s="534"/>
      <c r="G34" s="534"/>
      <c r="H34" s="28"/>
    </row>
    <row r="35" spans="1:8">
      <c r="A35" s="98"/>
      <c r="B35" s="28"/>
      <c r="C35" s="28"/>
      <c r="D35" s="28"/>
      <c r="E35" s="28"/>
      <c r="F35" s="28"/>
      <c r="G35" s="28"/>
      <c r="H35" s="28"/>
    </row>
    <row r="36" spans="1:8">
      <c r="A36" s="98"/>
      <c r="B36" s="28"/>
      <c r="C36" s="28"/>
      <c r="D36" s="28"/>
      <c r="E36" s="28"/>
      <c r="F36" s="28"/>
      <c r="G36" s="28"/>
      <c r="H36" s="28"/>
    </row>
    <row r="37" spans="1:8">
      <c r="A37" s="98"/>
      <c r="B37" s="28"/>
      <c r="C37" s="28"/>
      <c r="D37" s="28"/>
      <c r="E37" s="28"/>
      <c r="F37" s="28"/>
      <c r="G37" s="28"/>
      <c r="H37" s="28"/>
    </row>
    <row r="38" spans="1:8">
      <c r="A38" s="98"/>
      <c r="B38" s="28"/>
      <c r="C38" s="28"/>
      <c r="D38" s="28"/>
      <c r="E38" s="28"/>
      <c r="F38" s="28"/>
      <c r="G38" s="28"/>
      <c r="H38" s="28"/>
    </row>
    <row r="39" spans="1:8">
      <c r="A39" s="98"/>
      <c r="B39" s="28"/>
      <c r="C39" s="28"/>
      <c r="D39" s="28"/>
      <c r="E39" s="28"/>
      <c r="F39" s="28"/>
      <c r="G39" s="28"/>
      <c r="H39" s="28"/>
    </row>
    <row r="40" spans="1:8">
      <c r="A40" s="98"/>
      <c r="B40" s="28"/>
      <c r="C40" s="28"/>
      <c r="D40" s="28"/>
      <c r="E40" s="28"/>
      <c r="F40" s="28"/>
      <c r="G40" s="28"/>
      <c r="H40" s="28"/>
    </row>
    <row r="41" spans="1:8">
      <c r="A41" s="98"/>
      <c r="B41" s="28"/>
      <c r="C41" s="28"/>
      <c r="D41" s="28"/>
      <c r="E41" s="28"/>
      <c r="F41" s="28"/>
      <c r="G41" s="28"/>
      <c r="H41" s="28"/>
    </row>
    <row r="42" spans="1:8">
      <c r="A42" s="98"/>
      <c r="B42" s="28"/>
      <c r="C42" s="28"/>
      <c r="D42" s="28"/>
      <c r="E42" s="28"/>
      <c r="F42" s="28"/>
      <c r="G42" s="28"/>
      <c r="H42" s="28"/>
    </row>
    <row r="43" spans="1:8">
      <c r="A43" s="98"/>
      <c r="B43" s="28"/>
      <c r="C43" s="28"/>
      <c r="D43" s="28"/>
      <c r="E43" s="28"/>
      <c r="F43" s="28"/>
      <c r="G43" s="28"/>
      <c r="H43" s="28"/>
    </row>
    <row r="44" spans="1:8">
      <c r="A44" s="98"/>
      <c r="B44" s="28"/>
      <c r="C44" s="28"/>
      <c r="D44" s="28"/>
      <c r="E44" s="28"/>
      <c r="F44" s="28"/>
      <c r="G44" s="28"/>
      <c r="H44" s="28"/>
    </row>
    <row r="45" spans="1:8">
      <c r="A45" s="98"/>
      <c r="B45" s="28"/>
      <c r="C45" s="28"/>
      <c r="D45" s="28"/>
      <c r="E45" s="28"/>
      <c r="F45" s="28"/>
      <c r="G45" s="28"/>
      <c r="H45" s="28"/>
    </row>
    <row r="46" spans="1:8">
      <c r="A46" s="98"/>
      <c r="B46" s="28"/>
      <c r="C46" s="28"/>
      <c r="D46" s="28"/>
      <c r="E46" s="28"/>
      <c r="F46" s="28"/>
      <c r="G46" s="28"/>
      <c r="H46" s="28"/>
    </row>
    <row r="47" spans="1:8">
      <c r="A47" s="98"/>
      <c r="B47" s="28"/>
      <c r="C47" s="28"/>
      <c r="D47" s="28"/>
      <c r="E47" s="28"/>
      <c r="F47" s="28"/>
      <c r="G47" s="28"/>
      <c r="H47" s="28"/>
    </row>
    <row r="48" spans="1:8">
      <c r="A48" s="98"/>
      <c r="B48" s="28"/>
      <c r="C48" s="28"/>
      <c r="D48" s="28"/>
      <c r="E48" s="28"/>
      <c r="F48" s="28"/>
      <c r="G48" s="28"/>
      <c r="H48" s="28"/>
    </row>
    <row r="49" spans="1:8">
      <c r="A49" s="98"/>
      <c r="B49" s="28"/>
      <c r="C49" s="28"/>
      <c r="D49" s="28"/>
      <c r="E49" s="28"/>
      <c r="F49" s="28"/>
      <c r="G49" s="28"/>
      <c r="H49" s="28"/>
    </row>
    <row r="50" spans="1:8">
      <c r="A50" s="98"/>
      <c r="B50" s="28"/>
      <c r="C50" s="28"/>
      <c r="D50" s="28"/>
      <c r="E50" s="28"/>
      <c r="F50" s="28"/>
      <c r="G50" s="28"/>
      <c r="H50" s="28"/>
    </row>
    <row r="51" spans="1:8">
      <c r="A51" s="98"/>
      <c r="B51" s="28"/>
      <c r="C51" s="28"/>
      <c r="D51" s="28"/>
      <c r="E51" s="28"/>
      <c r="F51" s="28"/>
      <c r="G51" s="28"/>
      <c r="H51" s="28"/>
    </row>
    <row r="52" spans="1:8">
      <c r="A52" s="98"/>
      <c r="B52" s="28"/>
      <c r="C52" s="28"/>
      <c r="D52" s="28"/>
      <c r="E52" s="28"/>
      <c r="F52" s="28"/>
      <c r="G52" s="28"/>
      <c r="H52" s="28"/>
    </row>
    <row r="53" spans="1:8" ht="14.25" hidden="1" customHeight="1">
      <c r="A53" s="98"/>
      <c r="B53" s="28"/>
      <c r="C53" s="28"/>
      <c r="D53" s="28"/>
      <c r="E53" s="28"/>
      <c r="F53" s="28"/>
      <c r="G53" s="28"/>
      <c r="H53" s="28"/>
    </row>
    <row r="54" spans="1:8"/>
    <row r="55" spans="1:8">
      <c r="A55" s="530" t="s">
        <v>213</v>
      </c>
      <c r="B55" s="530"/>
      <c r="C55" s="530"/>
      <c r="D55" s="530"/>
      <c r="E55" s="530"/>
      <c r="F55" s="530"/>
      <c r="G55" s="530"/>
    </row>
  </sheetData>
  <sheetProtection password="CAF1" sheet="1" formatCells="0" formatColumns="0" formatRows="0" insertColumns="0" insertRows="0" insertHyperlinks="0" deleteColumns="0" deleteRows="0" sort="0" autoFilter="0" pivotTables="0"/>
  <mergeCells count="6">
    <mergeCell ref="A55:G55"/>
    <mergeCell ref="A34:G34"/>
    <mergeCell ref="A2:A3"/>
    <mergeCell ref="B2:B3"/>
    <mergeCell ref="A33:G33"/>
    <mergeCell ref="C2:H2"/>
  </mergeCells>
  <phoneticPr fontId="7" type="noConversion"/>
  <hyperlinks>
    <hyperlink ref="A55:G55" location="Contents!A1" display="Back to the Contents"/>
  </hyperlinks>
  <pageMargins left="0.25" right="0.25" top="0.75" bottom="0.75" header="0.3" footer="0.3"/>
  <pageSetup paperSize="9" firstPageNumber="5" orientation="portrait" useFirstPageNumber="1" r:id="rId1"/>
  <headerFooter alignWithMargins="0">
    <oddHeader>&amp;L&amp;"Times New Roman,полужирный"Gazprom in Figures 2006-2010&amp;R&amp;"Times New Roman,полужирный"Factbook</oddHeader>
    <oddFooter>&amp;C&amp;P</oddFoot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dimension ref="A1:G24"/>
  <sheetViews>
    <sheetView zoomScaleNormal="100" zoomScaleSheetLayoutView="100" workbookViewId="0"/>
  </sheetViews>
  <sheetFormatPr defaultColWidth="0" defaultRowHeight="13.2" zeroHeight="1"/>
  <cols>
    <col min="1" max="1" width="100.5546875" style="2" customWidth="1"/>
    <col min="2" max="16384" width="0" style="2" hidden="1"/>
  </cols>
  <sheetData>
    <row r="1" spans="1:1" ht="15.6">
      <c r="A1" s="23" t="s">
        <v>284</v>
      </c>
    </row>
    <row r="2" spans="1:1" ht="21.75" customHeight="1">
      <c r="A2" s="99" t="s">
        <v>285</v>
      </c>
    </row>
    <row r="3" spans="1:1" ht="39.6">
      <c r="A3" s="100" t="s">
        <v>662</v>
      </c>
    </row>
    <row r="4" spans="1:1" ht="29.4" customHeight="1">
      <c r="A4" s="100" t="s">
        <v>286</v>
      </c>
    </row>
    <row r="5" spans="1:1" ht="24.75" customHeight="1">
      <c r="A5" s="99" t="s">
        <v>287</v>
      </c>
    </row>
    <row r="6" spans="1:1" ht="57.6">
      <c r="A6" s="100" t="s">
        <v>288</v>
      </c>
    </row>
    <row r="7" spans="1:1" ht="46.5" customHeight="1">
      <c r="A7" s="100" t="s">
        <v>289</v>
      </c>
    </row>
    <row r="8" spans="1:1" ht="40.5" customHeight="1">
      <c r="A8" s="100" t="s">
        <v>290</v>
      </c>
    </row>
    <row r="9" spans="1:1" ht="60.6" customHeight="1">
      <c r="A9" s="100" t="s">
        <v>291</v>
      </c>
    </row>
    <row r="10" spans="1:1" ht="84.6" customHeight="1">
      <c r="A10" s="101" t="s">
        <v>1114</v>
      </c>
    </row>
    <row r="11" spans="1:1" ht="24.75" customHeight="1">
      <c r="A11" s="99" t="s">
        <v>292</v>
      </c>
    </row>
    <row r="12" spans="1:1" ht="52.8">
      <c r="A12" s="100" t="s">
        <v>661</v>
      </c>
    </row>
    <row r="13" spans="1:1" ht="15.75" customHeight="1">
      <c r="A13" s="100" t="s">
        <v>293</v>
      </c>
    </row>
    <row r="14" spans="1:1" ht="53.25" customHeight="1">
      <c r="A14" s="100" t="s">
        <v>660</v>
      </c>
    </row>
    <row r="15" spans="1:1" ht="57" customHeight="1">
      <c r="A15" s="100" t="s">
        <v>294</v>
      </c>
    </row>
    <row r="16" spans="1:1" ht="66">
      <c r="A16" s="100" t="s">
        <v>295</v>
      </c>
    </row>
    <row r="17" spans="1:7" ht="41.25" customHeight="1">
      <c r="A17" s="99" t="s">
        <v>296</v>
      </c>
    </row>
    <row r="18" spans="1:7" ht="56.25" customHeight="1">
      <c r="A18" s="102" t="s">
        <v>298</v>
      </c>
    </row>
    <row r="19" spans="1:7" ht="92.25" customHeight="1">
      <c r="A19" s="102" t="s">
        <v>297</v>
      </c>
    </row>
    <row r="20" spans="1:7" ht="96.75" customHeight="1">
      <c r="A20" s="100" t="s">
        <v>1172</v>
      </c>
    </row>
    <row r="21" spans="1:7"/>
    <row r="22" spans="1:7">
      <c r="A22" s="480" t="s">
        <v>213</v>
      </c>
      <c r="B22" s="18"/>
      <c r="C22" s="18"/>
      <c r="D22" s="18"/>
      <c r="E22" s="18"/>
      <c r="F22" s="18"/>
      <c r="G22" s="18"/>
    </row>
    <row r="23" spans="1:7" hidden="1"/>
    <row r="24" spans="1:7" ht="12.75" hidden="1" customHeight="1"/>
  </sheetData>
  <sheetProtection password="CAF1" sheet="1" objects="1" scenarios="1" formatCells="0" formatColumns="0" formatRows="0" insertColumns="0" insertRows="0" insertHyperlinks="0" deleteColumns="0" deleteRows="0" sort="0" autoFilter="0" pivotTables="0"/>
  <phoneticPr fontId="7" type="noConversion"/>
  <hyperlinks>
    <hyperlink ref="A22" location="Contents!A1" display="Back to the Contents"/>
  </hyperlinks>
  <pageMargins left="0.25" right="0.25" top="0.75" bottom="0.75" header="0.3" footer="0.3"/>
  <pageSetup paperSize="9" firstPageNumber="5" orientation="portrait" useFirstPageNumber="1" r:id="rId1"/>
  <headerFooter alignWithMargins="0">
    <oddHeader>&amp;L&amp;"Times New Roman,полужирный"Gazprom in Figures 2006-2010&amp;R&amp;"Times New Roman,полужирный"Factbook</oddHeader>
    <oddFooter>&amp;C&amp;P</oddFooter>
  </headerFooter>
  <rowBreaks count="1" manualBreakCount="1">
    <brk id="16" man="1"/>
  </rowBreaks>
  <drawing r:id="rId2"/>
</worksheet>
</file>

<file path=xl/worksheets/sheet7.xml><?xml version="1.0" encoding="utf-8"?>
<worksheet xmlns="http://schemas.openxmlformats.org/spreadsheetml/2006/main" xmlns:r="http://schemas.openxmlformats.org/officeDocument/2006/relationships">
  <dimension ref="A1:BS36"/>
  <sheetViews>
    <sheetView zoomScaleNormal="100" zoomScaleSheetLayoutView="100" workbookViewId="0"/>
  </sheetViews>
  <sheetFormatPr defaultColWidth="0" defaultRowHeight="13.2" zeroHeight="1" outlineLevelCol="1"/>
  <cols>
    <col min="1" max="1" width="28.44140625" style="4" customWidth="1"/>
    <col min="2" max="2" width="7.5546875" style="4" hidden="1" customWidth="1" outlineLevel="1"/>
    <col min="3" max="3" width="7.5546875" style="4" customWidth="1" collapsed="1"/>
    <col min="4" max="7" width="7.5546875" style="4" customWidth="1"/>
    <col min="8" max="8" width="1.33203125" style="4" customWidth="1"/>
    <col min="9" max="9" width="7.5546875" style="4" hidden="1" customWidth="1" outlineLevel="1"/>
    <col min="10" max="10" width="7.5546875" style="4" customWidth="1" collapsed="1"/>
    <col min="11" max="14" width="7.5546875" style="4" customWidth="1"/>
    <col min="15" max="15" width="1.33203125" style="4" customWidth="1"/>
    <col min="16" max="16" width="7.6640625" style="4" hidden="1" customWidth="1" outlineLevel="1"/>
    <col min="17" max="17" width="7.6640625" style="4" customWidth="1" collapsed="1"/>
    <col min="18" max="21" width="7.6640625" style="4" customWidth="1"/>
    <col min="22" max="41" width="7.6640625" style="4" hidden="1" customWidth="1"/>
    <col min="42" max="71" width="7.5546875" style="4" hidden="1" customWidth="1"/>
    <col min="72" max="16384" width="0" style="4" hidden="1"/>
  </cols>
  <sheetData>
    <row r="1" spans="1:22" ht="15.6">
      <c r="A1" s="48" t="s">
        <v>299</v>
      </c>
      <c r="B1" s="28"/>
      <c r="C1" s="28"/>
      <c r="D1" s="28"/>
      <c r="E1" s="28"/>
      <c r="F1" s="28"/>
      <c r="G1" s="28"/>
      <c r="H1" s="28"/>
      <c r="I1" s="28"/>
      <c r="J1" s="28"/>
      <c r="K1" s="28"/>
      <c r="L1" s="28"/>
      <c r="M1" s="28"/>
      <c r="N1" s="28"/>
      <c r="O1" s="28"/>
      <c r="P1" s="28"/>
      <c r="Q1" s="28"/>
      <c r="R1" s="28"/>
      <c r="S1" s="28"/>
      <c r="T1" s="28"/>
      <c r="U1" s="28"/>
    </row>
    <row r="2" spans="1:22" ht="12.75" customHeight="1">
      <c r="A2" s="103"/>
      <c r="B2" s="531" t="s">
        <v>300</v>
      </c>
      <c r="C2" s="531"/>
      <c r="D2" s="531"/>
      <c r="E2" s="531"/>
      <c r="F2" s="531"/>
      <c r="G2" s="29"/>
      <c r="H2" s="104"/>
      <c r="I2" s="531" t="s">
        <v>300</v>
      </c>
      <c r="J2" s="531"/>
      <c r="K2" s="531"/>
      <c r="L2" s="531"/>
      <c r="M2" s="531"/>
      <c r="N2" s="29"/>
      <c r="O2" s="104"/>
      <c r="P2" s="531" t="s">
        <v>300</v>
      </c>
      <c r="Q2" s="531"/>
      <c r="R2" s="531"/>
      <c r="S2" s="531"/>
      <c r="T2" s="531"/>
      <c r="U2" s="29"/>
    </row>
    <row r="3" spans="1:22">
      <c r="A3" s="103"/>
      <c r="B3" s="30">
        <v>2005</v>
      </c>
      <c r="C3" s="30">
        <v>2006</v>
      </c>
      <c r="D3" s="30">
        <v>2007</v>
      </c>
      <c r="E3" s="30">
        <v>2008</v>
      </c>
      <c r="F3" s="30">
        <v>2009</v>
      </c>
      <c r="G3" s="30">
        <v>2010</v>
      </c>
      <c r="H3" s="105"/>
      <c r="I3" s="30">
        <v>2005</v>
      </c>
      <c r="J3" s="30">
        <v>2006</v>
      </c>
      <c r="K3" s="30">
        <v>2007</v>
      </c>
      <c r="L3" s="30">
        <v>2008</v>
      </c>
      <c r="M3" s="30">
        <v>2009</v>
      </c>
      <c r="N3" s="30">
        <v>2010</v>
      </c>
      <c r="O3" s="105"/>
      <c r="P3" s="30">
        <v>2005</v>
      </c>
      <c r="Q3" s="30">
        <v>2006</v>
      </c>
      <c r="R3" s="30">
        <v>2007</v>
      </c>
      <c r="S3" s="30">
        <v>2008</v>
      </c>
      <c r="T3" s="30">
        <v>2009</v>
      </c>
      <c r="U3" s="30">
        <v>2010</v>
      </c>
    </row>
    <row r="4" spans="1:22" ht="11.25" customHeight="1">
      <c r="A4" s="103"/>
      <c r="B4" s="531" t="s">
        <v>301</v>
      </c>
      <c r="C4" s="531"/>
      <c r="D4" s="531"/>
      <c r="E4" s="531"/>
      <c r="F4" s="531"/>
      <c r="G4" s="531"/>
      <c r="H4" s="106"/>
      <c r="I4" s="531" t="s">
        <v>302</v>
      </c>
      <c r="J4" s="531"/>
      <c r="K4" s="531"/>
      <c r="L4" s="531"/>
      <c r="M4" s="531"/>
      <c r="N4" s="531"/>
      <c r="O4" s="106"/>
      <c r="P4" s="531" t="s">
        <v>303</v>
      </c>
      <c r="Q4" s="531"/>
      <c r="R4" s="531"/>
      <c r="S4" s="531"/>
      <c r="T4" s="531"/>
      <c r="U4" s="531"/>
    </row>
    <row r="5" spans="1:22">
      <c r="A5" s="52" t="s">
        <v>315</v>
      </c>
      <c r="B5" s="107">
        <v>29130.7</v>
      </c>
      <c r="C5" s="107">
        <v>29854.2</v>
      </c>
      <c r="D5" s="107">
        <v>29785.4</v>
      </c>
      <c r="E5" s="107">
        <v>33123.199999999997</v>
      </c>
      <c r="F5" s="107">
        <v>33578.400000000001</v>
      </c>
      <c r="G5" s="107">
        <v>33052.300000000003</v>
      </c>
      <c r="H5" s="108"/>
      <c r="I5" s="107">
        <f t="shared" ref="I5:N5" si="0">ROUND(B5*1.154,1)</f>
        <v>33616.800000000003</v>
      </c>
      <c r="J5" s="107">
        <f t="shared" si="0"/>
        <v>34451.699999999997</v>
      </c>
      <c r="K5" s="107">
        <f t="shared" si="0"/>
        <v>34372.400000000001</v>
      </c>
      <c r="L5" s="107">
        <f t="shared" si="0"/>
        <v>38224.199999999997</v>
      </c>
      <c r="M5" s="107">
        <f t="shared" si="0"/>
        <v>38749.5</v>
      </c>
      <c r="N5" s="107">
        <f t="shared" si="0"/>
        <v>38142.400000000001</v>
      </c>
      <c r="O5" s="109"/>
      <c r="P5" s="110">
        <f t="shared" ref="P5:U5" si="1">ROUND(B5*5.89,1)</f>
        <v>171579.8</v>
      </c>
      <c r="Q5" s="110">
        <f t="shared" si="1"/>
        <v>175841.2</v>
      </c>
      <c r="R5" s="110">
        <f t="shared" si="1"/>
        <v>175436</v>
      </c>
      <c r="S5" s="110">
        <f t="shared" si="1"/>
        <v>195095.6</v>
      </c>
      <c r="T5" s="110">
        <f t="shared" si="1"/>
        <v>197776.8</v>
      </c>
      <c r="U5" s="110">
        <f t="shared" si="1"/>
        <v>194678</v>
      </c>
    </row>
    <row r="6" spans="1:22">
      <c r="A6" s="42" t="s">
        <v>316</v>
      </c>
      <c r="B6" s="111">
        <v>0.95</v>
      </c>
      <c r="C6" s="111">
        <v>0.93</v>
      </c>
      <c r="D6" s="111">
        <v>0.95</v>
      </c>
      <c r="E6" s="111">
        <v>0.88</v>
      </c>
      <c r="F6" s="111">
        <v>0.89</v>
      </c>
      <c r="G6" s="111">
        <v>0.93</v>
      </c>
      <c r="H6" s="108"/>
      <c r="I6" s="112">
        <f t="shared" ref="I6:N6" si="2">B6</f>
        <v>0.95</v>
      </c>
      <c r="J6" s="112">
        <f t="shared" si="2"/>
        <v>0.93</v>
      </c>
      <c r="K6" s="112">
        <f t="shared" si="2"/>
        <v>0.95</v>
      </c>
      <c r="L6" s="112">
        <f t="shared" si="2"/>
        <v>0.88</v>
      </c>
      <c r="M6" s="113">
        <f t="shared" si="2"/>
        <v>0.89</v>
      </c>
      <c r="N6" s="113">
        <f t="shared" si="2"/>
        <v>0.93</v>
      </c>
      <c r="O6" s="109"/>
      <c r="P6" s="114">
        <f t="shared" ref="P6:U6" si="3">B6</f>
        <v>0.95</v>
      </c>
      <c r="Q6" s="114">
        <f t="shared" si="3"/>
        <v>0.93</v>
      </c>
      <c r="R6" s="114">
        <f t="shared" si="3"/>
        <v>0.95</v>
      </c>
      <c r="S6" s="114">
        <f t="shared" si="3"/>
        <v>0.88</v>
      </c>
      <c r="T6" s="114">
        <f t="shared" si="3"/>
        <v>0.89</v>
      </c>
      <c r="U6" s="114">
        <f t="shared" si="3"/>
        <v>0.93</v>
      </c>
    </row>
    <row r="7" spans="1:22">
      <c r="A7" s="46" t="s">
        <v>317</v>
      </c>
      <c r="B7" s="107">
        <v>16052.1</v>
      </c>
      <c r="C7" s="107">
        <v>18187.599999999999</v>
      </c>
      <c r="D7" s="107">
        <v>18286.5</v>
      </c>
      <c r="E7" s="115">
        <v>18187.8</v>
      </c>
      <c r="F7" s="115">
        <v>18609.900000000001</v>
      </c>
      <c r="G7" s="115">
        <v>18991.3</v>
      </c>
      <c r="H7" s="108"/>
      <c r="I7" s="107">
        <f>ROUND(B7*1.154,1)</f>
        <v>18524.099999999999</v>
      </c>
      <c r="J7" s="107">
        <f>ROUND(C7*1.154,1)</f>
        <v>20988.5</v>
      </c>
      <c r="K7" s="107">
        <f>ROUND(D7*1.154,1)</f>
        <v>21102.6</v>
      </c>
      <c r="L7" s="107">
        <f>ROUND(E7*1.154,1)</f>
        <v>20988.7</v>
      </c>
      <c r="M7" s="107">
        <f>ROUND(F7*1.154,1)</f>
        <v>21475.8</v>
      </c>
      <c r="N7" s="107">
        <f>ROUNDDOWN(G7*1.154,1)</f>
        <v>21915.9</v>
      </c>
      <c r="O7" s="109"/>
      <c r="P7" s="110">
        <f t="shared" ref="P7:U9" si="4">ROUND(B7*5.89,1)</f>
        <v>94546.9</v>
      </c>
      <c r="Q7" s="110">
        <f t="shared" si="4"/>
        <v>107125</v>
      </c>
      <c r="R7" s="110">
        <f t="shared" si="4"/>
        <v>107707.5</v>
      </c>
      <c r="S7" s="110">
        <f t="shared" si="4"/>
        <v>107126.1</v>
      </c>
      <c r="T7" s="110">
        <f t="shared" si="4"/>
        <v>109612.3</v>
      </c>
      <c r="U7" s="110">
        <f t="shared" si="4"/>
        <v>111858.8</v>
      </c>
    </row>
    <row r="8" spans="1:22">
      <c r="A8" s="46" t="s">
        <v>318</v>
      </c>
      <c r="B8" s="107">
        <v>4757.2</v>
      </c>
      <c r="C8" s="107">
        <v>2580</v>
      </c>
      <c r="D8" s="107">
        <v>2551.5</v>
      </c>
      <c r="E8" s="115">
        <v>3088.2</v>
      </c>
      <c r="F8" s="115">
        <v>3338.1</v>
      </c>
      <c r="G8" s="115">
        <v>3529</v>
      </c>
      <c r="H8" s="108"/>
      <c r="I8" s="107">
        <f>ROUND(B8*1.154,1)</f>
        <v>5489.8</v>
      </c>
      <c r="J8" s="107">
        <f>ROUND(C8*1.154,1)</f>
        <v>2977.3</v>
      </c>
      <c r="K8" s="107">
        <f>ROUNDUP(D8*1.154,1)</f>
        <v>2944.5</v>
      </c>
      <c r="L8" s="107">
        <f t="shared" ref="L8:N9" si="5">ROUND(E8*1.154,1)</f>
        <v>3563.8</v>
      </c>
      <c r="M8" s="107">
        <f t="shared" si="5"/>
        <v>3852.2</v>
      </c>
      <c r="N8" s="107">
        <f t="shared" si="5"/>
        <v>4072.5</v>
      </c>
      <c r="O8" s="109"/>
      <c r="P8" s="110">
        <f t="shared" si="4"/>
        <v>28019.9</v>
      </c>
      <c r="Q8" s="110">
        <f t="shared" si="4"/>
        <v>15196.2</v>
      </c>
      <c r="R8" s="110">
        <f t="shared" si="4"/>
        <v>15028.3</v>
      </c>
      <c r="S8" s="110">
        <f t="shared" si="4"/>
        <v>18189.5</v>
      </c>
      <c r="T8" s="110">
        <f t="shared" si="4"/>
        <v>19661.400000000001</v>
      </c>
      <c r="U8" s="110">
        <f t="shared" si="4"/>
        <v>20785.8</v>
      </c>
    </row>
    <row r="9" spans="1:22">
      <c r="A9" s="46" t="s">
        <v>319</v>
      </c>
      <c r="B9" s="107">
        <v>20809.3</v>
      </c>
      <c r="C9" s="107">
        <v>20767.599999999999</v>
      </c>
      <c r="D9" s="107">
        <v>20838</v>
      </c>
      <c r="E9" s="115">
        <v>21276</v>
      </c>
      <c r="F9" s="115">
        <v>21948</v>
      </c>
      <c r="G9" s="115">
        <v>22520.3</v>
      </c>
      <c r="H9" s="108"/>
      <c r="I9" s="107">
        <f>ROUND(B9*1.154,1)</f>
        <v>24013.9</v>
      </c>
      <c r="J9" s="107">
        <f>ROUND(C9*1.154,1)</f>
        <v>23965.8</v>
      </c>
      <c r="K9" s="107">
        <f>ROUND(D9*1.154,1)</f>
        <v>24047.1</v>
      </c>
      <c r="L9" s="107">
        <f t="shared" si="5"/>
        <v>24552.5</v>
      </c>
      <c r="M9" s="107">
        <f t="shared" si="5"/>
        <v>25328</v>
      </c>
      <c r="N9" s="107">
        <f t="shared" si="5"/>
        <v>25988.400000000001</v>
      </c>
      <c r="O9" s="109"/>
      <c r="P9" s="110">
        <f t="shared" si="4"/>
        <v>122566.8</v>
      </c>
      <c r="Q9" s="110">
        <f t="shared" si="4"/>
        <v>122321.2</v>
      </c>
      <c r="R9" s="110">
        <f t="shared" si="4"/>
        <v>122735.8</v>
      </c>
      <c r="S9" s="110">
        <f t="shared" si="4"/>
        <v>125315.6</v>
      </c>
      <c r="T9" s="110">
        <f t="shared" si="4"/>
        <v>129273.7</v>
      </c>
      <c r="U9" s="110">
        <f t="shared" si="4"/>
        <v>132644.6</v>
      </c>
      <c r="V9" s="6"/>
    </row>
    <row r="10" spans="1:22" ht="12.75" customHeight="1">
      <c r="A10" s="76"/>
      <c r="B10" s="531" t="s">
        <v>304</v>
      </c>
      <c r="C10" s="531"/>
      <c r="D10" s="531"/>
      <c r="E10" s="531"/>
      <c r="F10" s="531"/>
      <c r="G10" s="531"/>
      <c r="H10" s="106"/>
      <c r="I10" s="531" t="s">
        <v>305</v>
      </c>
      <c r="J10" s="531"/>
      <c r="K10" s="531"/>
      <c r="L10" s="531"/>
      <c r="M10" s="531"/>
      <c r="N10" s="531"/>
      <c r="O10" s="106"/>
      <c r="P10" s="531" t="s">
        <v>306</v>
      </c>
      <c r="Q10" s="531"/>
      <c r="R10" s="531"/>
      <c r="S10" s="531"/>
      <c r="T10" s="531"/>
      <c r="U10" s="531"/>
    </row>
    <row r="11" spans="1:22">
      <c r="A11" s="52" t="s">
        <v>315</v>
      </c>
      <c r="B11" s="107">
        <v>1216.3</v>
      </c>
      <c r="C11" s="107">
        <v>1217</v>
      </c>
      <c r="D11" s="107">
        <v>1212.5</v>
      </c>
      <c r="E11" s="107">
        <v>1287.0999999999999</v>
      </c>
      <c r="F11" s="107">
        <v>1325.1</v>
      </c>
      <c r="G11" s="107">
        <v>1284.8</v>
      </c>
      <c r="H11" s="107"/>
      <c r="I11" s="116">
        <f t="shared" ref="I11:N11" si="6">ROUND(B11*1.43,1)</f>
        <v>1739.3</v>
      </c>
      <c r="J11" s="116">
        <f t="shared" si="6"/>
        <v>1740.3</v>
      </c>
      <c r="K11" s="116">
        <f t="shared" si="6"/>
        <v>1733.9</v>
      </c>
      <c r="L11" s="116">
        <f t="shared" si="6"/>
        <v>1840.6</v>
      </c>
      <c r="M11" s="116">
        <f t="shared" si="6"/>
        <v>1894.9</v>
      </c>
      <c r="N11" s="116">
        <f t="shared" si="6"/>
        <v>1837.3</v>
      </c>
      <c r="O11" s="107"/>
      <c r="P11" s="116">
        <f t="shared" ref="P11:U11" si="7">ROUND(B11*8.18,1)</f>
        <v>9949.2999999999993</v>
      </c>
      <c r="Q11" s="116">
        <f t="shared" si="7"/>
        <v>9955.1</v>
      </c>
      <c r="R11" s="116">
        <f t="shared" si="7"/>
        <v>9918.2999999999993</v>
      </c>
      <c r="S11" s="116">
        <f t="shared" si="7"/>
        <v>10528.5</v>
      </c>
      <c r="T11" s="116">
        <f t="shared" si="7"/>
        <v>10839.3</v>
      </c>
      <c r="U11" s="116">
        <f t="shared" si="7"/>
        <v>10509.7</v>
      </c>
    </row>
    <row r="12" spans="1:22">
      <c r="A12" s="42" t="s">
        <v>316</v>
      </c>
      <c r="B12" s="111">
        <v>0.9</v>
      </c>
      <c r="C12" s="111">
        <v>0.9</v>
      </c>
      <c r="D12" s="111">
        <v>0.9</v>
      </c>
      <c r="E12" s="111">
        <v>0.85</v>
      </c>
      <c r="F12" s="111">
        <v>0.82</v>
      </c>
      <c r="G12" s="111">
        <v>0.86</v>
      </c>
      <c r="H12" s="108"/>
      <c r="I12" s="112">
        <f t="shared" ref="I12:N12" si="8">B12</f>
        <v>0.9</v>
      </c>
      <c r="J12" s="112">
        <f t="shared" si="8"/>
        <v>0.9</v>
      </c>
      <c r="K12" s="112">
        <f t="shared" si="8"/>
        <v>0.9</v>
      </c>
      <c r="L12" s="112">
        <f t="shared" si="8"/>
        <v>0.85</v>
      </c>
      <c r="M12" s="113">
        <f t="shared" si="8"/>
        <v>0.82</v>
      </c>
      <c r="N12" s="113">
        <f t="shared" si="8"/>
        <v>0.86</v>
      </c>
      <c r="O12" s="108"/>
      <c r="P12" s="114">
        <f t="shared" ref="P12:U12" si="9">B12</f>
        <v>0.9</v>
      </c>
      <c r="Q12" s="114">
        <f t="shared" si="9"/>
        <v>0.9</v>
      </c>
      <c r="R12" s="114">
        <f t="shared" si="9"/>
        <v>0.9</v>
      </c>
      <c r="S12" s="114">
        <f t="shared" si="9"/>
        <v>0.85</v>
      </c>
      <c r="T12" s="114">
        <f t="shared" si="9"/>
        <v>0.82</v>
      </c>
      <c r="U12" s="114">
        <f t="shared" si="9"/>
        <v>0.86</v>
      </c>
    </row>
    <row r="13" spans="1:22">
      <c r="A13" s="46" t="s">
        <v>317</v>
      </c>
      <c r="B13" s="107">
        <v>507.9</v>
      </c>
      <c r="C13" s="107">
        <v>528.9</v>
      </c>
      <c r="D13" s="107">
        <v>568.9</v>
      </c>
      <c r="E13" s="107">
        <v>587.9</v>
      </c>
      <c r="F13" s="107">
        <v>586</v>
      </c>
      <c r="G13" s="107">
        <v>572.1</v>
      </c>
      <c r="H13" s="107"/>
      <c r="I13" s="116">
        <f t="shared" ref="I13:N13" si="10">ROUND(B13*1.43,1)</f>
        <v>726.3</v>
      </c>
      <c r="J13" s="116">
        <f t="shared" si="10"/>
        <v>756.3</v>
      </c>
      <c r="K13" s="116">
        <f t="shared" si="10"/>
        <v>813.5</v>
      </c>
      <c r="L13" s="116">
        <f t="shared" si="10"/>
        <v>840.7</v>
      </c>
      <c r="M13" s="116">
        <f t="shared" si="10"/>
        <v>838</v>
      </c>
      <c r="N13" s="116">
        <f t="shared" si="10"/>
        <v>818.1</v>
      </c>
      <c r="O13" s="107"/>
      <c r="P13" s="116">
        <f t="shared" ref="P13:U13" si="11">ROUND(B13*8.18,1)</f>
        <v>4154.6000000000004</v>
      </c>
      <c r="Q13" s="116">
        <f t="shared" si="11"/>
        <v>4326.3999999999996</v>
      </c>
      <c r="R13" s="116">
        <f t="shared" si="11"/>
        <v>4653.6000000000004</v>
      </c>
      <c r="S13" s="116">
        <f t="shared" si="11"/>
        <v>4809</v>
      </c>
      <c r="T13" s="116">
        <f t="shared" si="11"/>
        <v>4793.5</v>
      </c>
      <c r="U13" s="116">
        <f t="shared" si="11"/>
        <v>4679.8</v>
      </c>
    </row>
    <row r="14" spans="1:22">
      <c r="A14" s="46" t="s">
        <v>318</v>
      </c>
      <c r="B14" s="107">
        <v>184.7</v>
      </c>
      <c r="C14" s="107">
        <v>130.1</v>
      </c>
      <c r="D14" s="107">
        <v>117.2</v>
      </c>
      <c r="E14" s="107">
        <v>141.9</v>
      </c>
      <c r="F14" s="107">
        <v>141.19999999999999</v>
      </c>
      <c r="G14" s="107">
        <v>147.19999999999999</v>
      </c>
      <c r="H14" s="107"/>
      <c r="I14" s="116">
        <f>ROUND(B14*1.43,1)</f>
        <v>264.10000000000002</v>
      </c>
      <c r="J14" s="116">
        <f>ROUNDUP(C14*1.43,1)</f>
        <v>186.1</v>
      </c>
      <c r="K14" s="116">
        <f t="shared" ref="K14:N15" si="12">ROUND(D14*1.43,1)</f>
        <v>167.6</v>
      </c>
      <c r="L14" s="116">
        <f t="shared" si="12"/>
        <v>202.9</v>
      </c>
      <c r="M14" s="116">
        <f t="shared" si="12"/>
        <v>201.9</v>
      </c>
      <c r="N14" s="116">
        <f t="shared" si="12"/>
        <v>210.5</v>
      </c>
      <c r="O14" s="107"/>
      <c r="P14" s="116">
        <f>ROUNDUP(B14*8.18,1)</f>
        <v>1510.8999999999999</v>
      </c>
      <c r="Q14" s="116">
        <f>ROUND(C14*8.18,1)</f>
        <v>1064.2</v>
      </c>
      <c r="R14" s="116">
        <f>ROUND(D14*8.18,1)</f>
        <v>958.7</v>
      </c>
      <c r="S14" s="116">
        <f>ROUNDUP(E14*8.18,1)</f>
        <v>1160.8</v>
      </c>
      <c r="T14" s="116">
        <f>ROUND(F14*8.18,1)</f>
        <v>1155</v>
      </c>
      <c r="U14" s="116">
        <f>ROUND(G14*8.18,1)</f>
        <v>1204.0999999999999</v>
      </c>
    </row>
    <row r="15" spans="1:22">
      <c r="A15" s="46" t="s">
        <v>319</v>
      </c>
      <c r="B15" s="107">
        <v>692.6</v>
      </c>
      <c r="C15" s="107">
        <v>659</v>
      </c>
      <c r="D15" s="107">
        <v>686.1</v>
      </c>
      <c r="E15" s="107">
        <v>729.8</v>
      </c>
      <c r="F15" s="107">
        <v>727.2</v>
      </c>
      <c r="G15" s="107">
        <v>719.3</v>
      </c>
      <c r="H15" s="107"/>
      <c r="I15" s="116">
        <f>ROUND(B15*1.43,1)</f>
        <v>990.4</v>
      </c>
      <c r="J15" s="116">
        <f>ROUND(C15*1.43,1)</f>
        <v>942.4</v>
      </c>
      <c r="K15" s="116">
        <f t="shared" si="12"/>
        <v>981.1</v>
      </c>
      <c r="L15" s="116">
        <f t="shared" si="12"/>
        <v>1043.5999999999999</v>
      </c>
      <c r="M15" s="116">
        <f t="shared" si="12"/>
        <v>1039.9000000000001</v>
      </c>
      <c r="N15" s="116">
        <f t="shared" si="12"/>
        <v>1028.5999999999999</v>
      </c>
      <c r="O15" s="107"/>
      <c r="P15" s="116">
        <f>ROUND(B15*8.18,1)</f>
        <v>5665.5</v>
      </c>
      <c r="Q15" s="116">
        <f>ROUND(C15*8.18,1)</f>
        <v>5390.6</v>
      </c>
      <c r="R15" s="116">
        <f>ROUND(D15*8.18,1)</f>
        <v>5612.3</v>
      </c>
      <c r="S15" s="116">
        <f>ROUND(E15*8.18,1)</f>
        <v>5969.8</v>
      </c>
      <c r="T15" s="116">
        <f>ROUND(F15*8.18,1)</f>
        <v>5948.5</v>
      </c>
      <c r="U15" s="116">
        <f>ROUND(G15*8.18,1)</f>
        <v>5883.9</v>
      </c>
    </row>
    <row r="16" spans="1:22" ht="12.75" customHeight="1">
      <c r="A16" s="76"/>
      <c r="B16" s="531" t="s">
        <v>307</v>
      </c>
      <c r="C16" s="531"/>
      <c r="D16" s="531"/>
      <c r="E16" s="531"/>
      <c r="F16" s="531"/>
      <c r="G16" s="531"/>
      <c r="H16" s="106"/>
      <c r="I16" s="531" t="s">
        <v>308</v>
      </c>
      <c r="J16" s="531"/>
      <c r="K16" s="531"/>
      <c r="L16" s="531"/>
      <c r="M16" s="531"/>
      <c r="N16" s="531"/>
      <c r="O16" s="106"/>
      <c r="P16" s="531" t="s">
        <v>309</v>
      </c>
      <c r="Q16" s="531"/>
      <c r="R16" s="531"/>
      <c r="S16" s="531"/>
      <c r="T16" s="531"/>
      <c r="U16" s="531"/>
    </row>
    <row r="17" spans="1:22">
      <c r="A17" s="52" t="s">
        <v>315</v>
      </c>
      <c r="B17" s="107">
        <v>1357.5</v>
      </c>
      <c r="C17" s="107">
        <v>1386.9</v>
      </c>
      <c r="D17" s="107">
        <v>1509.9</v>
      </c>
      <c r="E17" s="107">
        <v>1601.7</v>
      </c>
      <c r="F17" s="107">
        <v>1785</v>
      </c>
      <c r="G17" s="107">
        <v>1732.9</v>
      </c>
      <c r="H17" s="107"/>
      <c r="I17" s="116">
        <f t="shared" ref="I17:N17" si="13">ROUND(B17*1.43,1)</f>
        <v>1941.2</v>
      </c>
      <c r="J17" s="116">
        <f t="shared" si="13"/>
        <v>1983.3</v>
      </c>
      <c r="K17" s="116">
        <f t="shared" si="13"/>
        <v>2159.1999999999998</v>
      </c>
      <c r="L17" s="116">
        <f t="shared" si="13"/>
        <v>2290.4</v>
      </c>
      <c r="M17" s="116">
        <f t="shared" si="13"/>
        <v>2552.6</v>
      </c>
      <c r="N17" s="116">
        <f t="shared" si="13"/>
        <v>2478</v>
      </c>
      <c r="O17" s="116"/>
      <c r="P17" s="116">
        <f t="shared" ref="P17:U17" si="14">ROUND(B17*7.33,1)</f>
        <v>9950.5</v>
      </c>
      <c r="Q17" s="116">
        <f t="shared" si="14"/>
        <v>10166</v>
      </c>
      <c r="R17" s="116">
        <f t="shared" si="14"/>
        <v>11067.6</v>
      </c>
      <c r="S17" s="116">
        <f t="shared" si="14"/>
        <v>11740.5</v>
      </c>
      <c r="T17" s="116">
        <f t="shared" si="14"/>
        <v>13084.1</v>
      </c>
      <c r="U17" s="116">
        <f t="shared" si="14"/>
        <v>12702.2</v>
      </c>
    </row>
    <row r="18" spans="1:22">
      <c r="A18" s="42" t="s">
        <v>316</v>
      </c>
      <c r="B18" s="111">
        <v>0.93</v>
      </c>
      <c r="C18" s="111">
        <v>0.93</v>
      </c>
      <c r="D18" s="111">
        <v>0.93</v>
      </c>
      <c r="E18" s="111">
        <v>0.92</v>
      </c>
      <c r="F18" s="111">
        <v>0.85</v>
      </c>
      <c r="G18" s="111">
        <v>0.9</v>
      </c>
      <c r="H18" s="108"/>
      <c r="I18" s="111">
        <v>0.93</v>
      </c>
      <c r="J18" s="111">
        <v>0.93</v>
      </c>
      <c r="K18" s="111">
        <v>0.93</v>
      </c>
      <c r="L18" s="111">
        <v>0.92</v>
      </c>
      <c r="M18" s="111">
        <v>0.85</v>
      </c>
      <c r="N18" s="111">
        <v>0.9</v>
      </c>
      <c r="O18" s="108"/>
      <c r="P18" s="111">
        <v>0.93</v>
      </c>
      <c r="Q18" s="111">
        <v>0.93</v>
      </c>
      <c r="R18" s="111">
        <v>0.93</v>
      </c>
      <c r="S18" s="111">
        <v>0.92</v>
      </c>
      <c r="T18" s="111">
        <v>0.85</v>
      </c>
      <c r="U18" s="111">
        <v>0.9</v>
      </c>
    </row>
    <row r="19" spans="1:22">
      <c r="A19" s="46" t="s">
        <v>317</v>
      </c>
      <c r="B19" s="107">
        <v>528.79999999999995</v>
      </c>
      <c r="C19" s="107">
        <v>688.9</v>
      </c>
      <c r="D19" s="107">
        <v>727</v>
      </c>
      <c r="E19" s="107">
        <v>713.2</v>
      </c>
      <c r="F19" s="107">
        <v>718.5</v>
      </c>
      <c r="G19" s="107">
        <v>717.4</v>
      </c>
      <c r="H19" s="107"/>
      <c r="I19" s="116">
        <f t="shared" ref="I19:L21" si="15">ROUND(B19*1.43,1)</f>
        <v>756.2</v>
      </c>
      <c r="J19" s="116">
        <f t="shared" si="15"/>
        <v>985.1</v>
      </c>
      <c r="K19" s="116">
        <f t="shared" si="15"/>
        <v>1039.5999999999999</v>
      </c>
      <c r="L19" s="116">
        <f t="shared" si="15"/>
        <v>1019.9</v>
      </c>
      <c r="M19" s="116">
        <f>ROUNDDOWN(F19*1.43,1)</f>
        <v>1027.4000000000001</v>
      </c>
      <c r="N19" s="116">
        <f>ROUND(G19*1.43,1)</f>
        <v>1025.9000000000001</v>
      </c>
      <c r="O19" s="116"/>
      <c r="P19" s="116">
        <f t="shared" ref="P19:U21" si="16">ROUND(B19*7.33,1)</f>
        <v>3876.1</v>
      </c>
      <c r="Q19" s="116">
        <f t="shared" si="16"/>
        <v>5049.6000000000004</v>
      </c>
      <c r="R19" s="116">
        <f t="shared" si="16"/>
        <v>5328.9</v>
      </c>
      <c r="S19" s="116">
        <f t="shared" si="16"/>
        <v>5227.8</v>
      </c>
      <c r="T19" s="116">
        <f t="shared" si="16"/>
        <v>5266.6</v>
      </c>
      <c r="U19" s="116">
        <f t="shared" si="16"/>
        <v>5258.5</v>
      </c>
      <c r="V19" s="6"/>
    </row>
    <row r="20" spans="1:22">
      <c r="A20" s="46" t="s">
        <v>318</v>
      </c>
      <c r="B20" s="107">
        <v>702.9</v>
      </c>
      <c r="C20" s="107">
        <v>377.6</v>
      </c>
      <c r="D20" s="107">
        <v>405.5</v>
      </c>
      <c r="E20" s="107">
        <v>565</v>
      </c>
      <c r="F20" s="107">
        <v>435.5</v>
      </c>
      <c r="G20" s="107">
        <v>464.5</v>
      </c>
      <c r="H20" s="107"/>
      <c r="I20" s="116">
        <f t="shared" si="15"/>
        <v>1005.1</v>
      </c>
      <c r="J20" s="116">
        <f t="shared" si="15"/>
        <v>540</v>
      </c>
      <c r="K20" s="116">
        <f t="shared" si="15"/>
        <v>579.9</v>
      </c>
      <c r="L20" s="116">
        <f>ROUNDDOWN(E20*1.43,1)</f>
        <v>807.9</v>
      </c>
      <c r="M20" s="116">
        <f>ROUND(F20*1.43,1)</f>
        <v>622.79999999999995</v>
      </c>
      <c r="N20" s="116">
        <f>ROUND(G20*1.43,1)</f>
        <v>664.2</v>
      </c>
      <c r="O20" s="116"/>
      <c r="P20" s="116">
        <f t="shared" si="16"/>
        <v>5152.3</v>
      </c>
      <c r="Q20" s="116">
        <f t="shared" si="16"/>
        <v>2767.8</v>
      </c>
      <c r="R20" s="116">
        <f t="shared" si="16"/>
        <v>2972.3</v>
      </c>
      <c r="S20" s="116">
        <f>ROUNDDOWN(E20*7.33,1)</f>
        <v>4141.3999999999996</v>
      </c>
      <c r="T20" s="116">
        <f t="shared" si="16"/>
        <v>3192.2</v>
      </c>
      <c r="U20" s="116">
        <f t="shared" si="16"/>
        <v>3404.8</v>
      </c>
      <c r="V20" s="6"/>
    </row>
    <row r="21" spans="1:22">
      <c r="A21" s="46" t="s">
        <v>319</v>
      </c>
      <c r="B21" s="107">
        <v>1231.7</v>
      </c>
      <c r="C21" s="107">
        <v>1066.5</v>
      </c>
      <c r="D21" s="107">
        <v>1132.5</v>
      </c>
      <c r="E21" s="107">
        <f>ROUND(1278.17,1)</f>
        <v>1278.2</v>
      </c>
      <c r="F21" s="107">
        <v>1154</v>
      </c>
      <c r="G21" s="107">
        <v>1181.9000000000001</v>
      </c>
      <c r="H21" s="107"/>
      <c r="I21" s="116">
        <f t="shared" si="15"/>
        <v>1761.3</v>
      </c>
      <c r="J21" s="116">
        <f t="shared" si="15"/>
        <v>1525.1</v>
      </c>
      <c r="K21" s="116">
        <f t="shared" si="15"/>
        <v>1619.5</v>
      </c>
      <c r="L21" s="116">
        <f t="shared" si="15"/>
        <v>1827.8</v>
      </c>
      <c r="M21" s="116">
        <f>ROUND(F21*1.43,1)</f>
        <v>1650.2</v>
      </c>
      <c r="N21" s="116">
        <f>ROUND(G21*1.43,1)</f>
        <v>1690.1</v>
      </c>
      <c r="O21" s="116"/>
      <c r="P21" s="116">
        <f t="shared" si="16"/>
        <v>9028.4</v>
      </c>
      <c r="Q21" s="116">
        <f t="shared" si="16"/>
        <v>7817.4</v>
      </c>
      <c r="R21" s="116">
        <f t="shared" si="16"/>
        <v>8301.2000000000007</v>
      </c>
      <c r="S21" s="116">
        <f t="shared" si="16"/>
        <v>9369.2000000000007</v>
      </c>
      <c r="T21" s="116">
        <f>ROUND(F21*7.33,1)</f>
        <v>8458.7999999999993</v>
      </c>
      <c r="U21" s="116">
        <f>ROUND(G21*7.33,1)</f>
        <v>8663.2999999999993</v>
      </c>
      <c r="V21" s="6"/>
    </row>
    <row r="22" spans="1:22" ht="21.75" customHeight="1">
      <c r="A22" s="76"/>
      <c r="B22" s="537"/>
      <c r="C22" s="537"/>
      <c r="D22" s="537"/>
      <c r="E22" s="537"/>
      <c r="F22" s="537"/>
      <c r="G22" s="117"/>
      <c r="H22" s="118"/>
      <c r="I22" s="531" t="s">
        <v>310</v>
      </c>
      <c r="J22" s="531"/>
      <c r="K22" s="531"/>
      <c r="L22" s="531"/>
      <c r="M22" s="531"/>
      <c r="N22" s="29"/>
      <c r="O22" s="106"/>
      <c r="P22" s="531" t="s">
        <v>311</v>
      </c>
      <c r="Q22" s="531"/>
      <c r="R22" s="531"/>
      <c r="S22" s="531"/>
      <c r="T22" s="531"/>
      <c r="U22" s="29"/>
    </row>
    <row r="23" spans="1:22">
      <c r="A23" s="52" t="s">
        <v>315</v>
      </c>
      <c r="B23" s="118" t="s">
        <v>193</v>
      </c>
      <c r="C23" s="118" t="s">
        <v>193</v>
      </c>
      <c r="D23" s="118" t="s">
        <v>193</v>
      </c>
      <c r="E23" s="118" t="s">
        <v>193</v>
      </c>
      <c r="F23" s="118" t="s">
        <v>193</v>
      </c>
      <c r="G23" s="118"/>
      <c r="H23" s="118"/>
      <c r="I23" s="391">
        <f t="shared" ref="I23:N23" si="17">I5+I11+I17</f>
        <v>37297.300000000003</v>
      </c>
      <c r="J23" s="507">
        <f t="shared" si="17"/>
        <v>38175.300000000003</v>
      </c>
      <c r="K23" s="507">
        <f t="shared" si="17"/>
        <v>38265.5</v>
      </c>
      <c r="L23" s="507">
        <f t="shared" si="17"/>
        <v>42355.199999999997</v>
      </c>
      <c r="M23" s="507">
        <f t="shared" si="17"/>
        <v>43197</v>
      </c>
      <c r="N23" s="507">
        <f t="shared" si="17"/>
        <v>42457.700000000004</v>
      </c>
      <c r="O23" s="507"/>
      <c r="P23" s="507">
        <f t="shared" ref="P23:U23" si="18">P5+P11+P17</f>
        <v>191479.59999999998</v>
      </c>
      <c r="Q23" s="507">
        <f t="shared" si="18"/>
        <v>195962.30000000002</v>
      </c>
      <c r="R23" s="507">
        <f t="shared" si="18"/>
        <v>196421.9</v>
      </c>
      <c r="S23" s="107">
        <f t="shared" si="18"/>
        <v>217364.6</v>
      </c>
      <c r="T23" s="107">
        <f t="shared" si="18"/>
        <v>221700.19999999998</v>
      </c>
      <c r="U23" s="107">
        <f t="shared" si="18"/>
        <v>217889.90000000002</v>
      </c>
    </row>
    <row r="24" spans="1:22">
      <c r="A24" s="42" t="s">
        <v>316</v>
      </c>
      <c r="B24" s="119" t="s">
        <v>193</v>
      </c>
      <c r="C24" s="119" t="s">
        <v>193</v>
      </c>
      <c r="D24" s="119" t="s">
        <v>193</v>
      </c>
      <c r="E24" s="119" t="s">
        <v>193</v>
      </c>
      <c r="F24" s="119" t="s">
        <v>193</v>
      </c>
      <c r="G24" s="505" t="s">
        <v>193</v>
      </c>
      <c r="H24" s="119"/>
      <c r="I24" s="111">
        <f>ROUND((I5*I6+I11*I12+I17*I18)/I23,2)</f>
        <v>0.95</v>
      </c>
      <c r="J24" s="111">
        <f>ROUND((J5*J6+J11*J12+J17*J18)/J23,2)</f>
        <v>0.93</v>
      </c>
      <c r="K24" s="111">
        <f>ROUND((K5*K6+K11*K12+K17*K18)/K23,2)</f>
        <v>0.95</v>
      </c>
      <c r="L24" s="111">
        <f>ROUND((L5*L6+L11*L12+L17*L18)/L23,2)</f>
        <v>0.88</v>
      </c>
      <c r="M24" s="111">
        <f>ROUND((M5*M6+M11*M12+M17*M18)/M23,2)</f>
        <v>0.88</v>
      </c>
      <c r="N24" s="111">
        <f>ROUNDDOWN((N5*N6+N11*N12+N17*N18)/N23,2)</f>
        <v>0.92</v>
      </c>
      <c r="O24" s="108"/>
      <c r="P24" s="111">
        <f t="shared" ref="P24:U24" si="19">ROUND((P5*P6+P11*P12+P17*P18)/P23,2)</f>
        <v>0.95</v>
      </c>
      <c r="Q24" s="111">
        <f t="shared" si="19"/>
        <v>0.93</v>
      </c>
      <c r="R24" s="111">
        <f t="shared" si="19"/>
        <v>0.95</v>
      </c>
      <c r="S24" s="111">
        <f t="shared" si="19"/>
        <v>0.88</v>
      </c>
      <c r="T24" s="111">
        <f t="shared" si="19"/>
        <v>0.88</v>
      </c>
      <c r="U24" s="111">
        <f t="shared" si="19"/>
        <v>0.92</v>
      </c>
    </row>
    <row r="25" spans="1:22">
      <c r="A25" s="46" t="s">
        <v>317</v>
      </c>
      <c r="B25" s="119" t="s">
        <v>193</v>
      </c>
      <c r="C25" s="119" t="s">
        <v>193</v>
      </c>
      <c r="D25" s="119" t="s">
        <v>193</v>
      </c>
      <c r="E25" s="119" t="s">
        <v>193</v>
      </c>
      <c r="F25" s="119" t="s">
        <v>193</v>
      </c>
      <c r="G25" s="505" t="s">
        <v>193</v>
      </c>
      <c r="H25" s="119"/>
      <c r="I25" s="107">
        <f t="shared" ref="I25:N27" si="20">I7+I13+I19</f>
        <v>20006.599999999999</v>
      </c>
      <c r="J25" s="107">
        <f t="shared" si="20"/>
        <v>22729.899999999998</v>
      </c>
      <c r="K25" s="107">
        <f t="shared" si="20"/>
        <v>22955.699999999997</v>
      </c>
      <c r="L25" s="107">
        <f t="shared" si="20"/>
        <v>22849.300000000003</v>
      </c>
      <c r="M25" s="107">
        <f t="shared" si="20"/>
        <v>23341.200000000001</v>
      </c>
      <c r="N25" s="107">
        <f t="shared" si="20"/>
        <v>23759.9</v>
      </c>
      <c r="O25" s="107"/>
      <c r="P25" s="107">
        <f t="shared" ref="P25:U27" si="21">P7+P13+P19</f>
        <v>102577.60000000001</v>
      </c>
      <c r="Q25" s="107">
        <f t="shared" si="21"/>
        <v>116501</v>
      </c>
      <c r="R25" s="107">
        <f t="shared" si="21"/>
        <v>117690</v>
      </c>
      <c r="S25" s="107">
        <f t="shared" si="21"/>
        <v>117162.90000000001</v>
      </c>
      <c r="T25" s="107">
        <f t="shared" si="21"/>
        <v>119672.40000000001</v>
      </c>
      <c r="U25" s="107">
        <f t="shared" si="21"/>
        <v>121797.1</v>
      </c>
    </row>
    <row r="26" spans="1:22">
      <c r="A26" s="46" t="s">
        <v>318</v>
      </c>
      <c r="B26" s="119" t="s">
        <v>193</v>
      </c>
      <c r="C26" s="119" t="s">
        <v>193</v>
      </c>
      <c r="D26" s="119" t="s">
        <v>193</v>
      </c>
      <c r="E26" s="119" t="s">
        <v>193</v>
      </c>
      <c r="F26" s="119" t="s">
        <v>193</v>
      </c>
      <c r="G26" s="505" t="s">
        <v>193</v>
      </c>
      <c r="H26" s="119"/>
      <c r="I26" s="107">
        <f t="shared" si="20"/>
        <v>6759.0000000000009</v>
      </c>
      <c r="J26" s="107">
        <f t="shared" si="20"/>
        <v>3703.4</v>
      </c>
      <c r="K26" s="107">
        <f t="shared" si="20"/>
        <v>3692</v>
      </c>
      <c r="L26" s="107">
        <f t="shared" si="20"/>
        <v>4574.6000000000004</v>
      </c>
      <c r="M26" s="107">
        <f t="shared" si="20"/>
        <v>4676.8999999999996</v>
      </c>
      <c r="N26" s="107">
        <f t="shared" si="20"/>
        <v>4947.2</v>
      </c>
      <c r="O26" s="107"/>
      <c r="P26" s="107">
        <f t="shared" si="21"/>
        <v>34683.100000000006</v>
      </c>
      <c r="Q26" s="107">
        <f t="shared" si="21"/>
        <v>19028.2</v>
      </c>
      <c r="R26" s="107">
        <f t="shared" si="21"/>
        <v>18959.3</v>
      </c>
      <c r="S26" s="107">
        <f t="shared" si="21"/>
        <v>23491.699999999997</v>
      </c>
      <c r="T26" s="107">
        <f t="shared" si="21"/>
        <v>24008.600000000002</v>
      </c>
      <c r="U26" s="107">
        <f t="shared" si="21"/>
        <v>25394.699999999997</v>
      </c>
    </row>
    <row r="27" spans="1:22">
      <c r="A27" s="46" t="s">
        <v>319</v>
      </c>
      <c r="B27" s="119" t="s">
        <v>193</v>
      </c>
      <c r="C27" s="119" t="s">
        <v>193</v>
      </c>
      <c r="D27" s="119" t="s">
        <v>193</v>
      </c>
      <c r="E27" s="119" t="s">
        <v>193</v>
      </c>
      <c r="F27" s="119" t="s">
        <v>193</v>
      </c>
      <c r="G27" s="505" t="s">
        <v>193</v>
      </c>
      <c r="H27" s="119"/>
      <c r="I27" s="107">
        <f t="shared" si="20"/>
        <v>26765.600000000002</v>
      </c>
      <c r="J27" s="107">
        <f t="shared" si="20"/>
        <v>26433.3</v>
      </c>
      <c r="K27" s="107">
        <f t="shared" si="20"/>
        <v>26647.699999999997</v>
      </c>
      <c r="L27" s="107">
        <f t="shared" si="20"/>
        <v>27423.899999999998</v>
      </c>
      <c r="M27" s="107">
        <f t="shared" si="20"/>
        <v>28018.100000000002</v>
      </c>
      <c r="N27" s="107">
        <f t="shared" si="20"/>
        <v>28707.1</v>
      </c>
      <c r="O27" s="107"/>
      <c r="P27" s="107">
        <f t="shared" si="21"/>
        <v>137260.70000000001</v>
      </c>
      <c r="Q27" s="107">
        <f t="shared" si="21"/>
        <v>135529.20000000001</v>
      </c>
      <c r="R27" s="107">
        <f t="shared" si="21"/>
        <v>136649.30000000002</v>
      </c>
      <c r="S27" s="107">
        <f t="shared" si="21"/>
        <v>140654.6</v>
      </c>
      <c r="T27" s="107">
        <f t="shared" si="21"/>
        <v>143681</v>
      </c>
      <c r="U27" s="107">
        <f t="shared" si="21"/>
        <v>147191.79999999999</v>
      </c>
    </row>
    <row r="28" spans="1:22" ht="12.75" customHeight="1">
      <c r="A28" s="535"/>
      <c r="B28" s="531" t="s">
        <v>312</v>
      </c>
      <c r="C28" s="531"/>
      <c r="D28" s="531"/>
      <c r="E28" s="531"/>
      <c r="F28" s="531"/>
      <c r="G28" s="531"/>
      <c r="H28" s="536"/>
      <c r="I28" s="536"/>
      <c r="J28" s="536"/>
      <c r="K28" s="536"/>
      <c r="L28" s="536"/>
      <c r="M28" s="536"/>
      <c r="N28" s="118"/>
      <c r="O28" s="536"/>
      <c r="P28" s="536"/>
      <c r="Q28" s="536"/>
      <c r="R28" s="536"/>
      <c r="S28" s="536"/>
      <c r="T28" s="536"/>
      <c r="U28" s="118"/>
    </row>
    <row r="29" spans="1:22" ht="12.75" customHeight="1">
      <c r="A29" s="535"/>
      <c r="B29" s="531" t="s">
        <v>929</v>
      </c>
      <c r="C29" s="531"/>
      <c r="D29" s="531"/>
      <c r="E29" s="531"/>
      <c r="F29" s="531"/>
      <c r="G29" s="531"/>
      <c r="H29" s="536"/>
      <c r="I29" s="536"/>
      <c r="J29" s="536"/>
      <c r="K29" s="536"/>
      <c r="L29" s="536"/>
      <c r="M29" s="536"/>
      <c r="N29" s="118"/>
      <c r="O29" s="536"/>
      <c r="P29" s="536"/>
      <c r="Q29" s="536"/>
      <c r="R29" s="536"/>
      <c r="S29" s="536"/>
      <c r="T29" s="536"/>
      <c r="U29" s="118"/>
    </row>
    <row r="30" spans="1:22" ht="13.8" thickBot="1">
      <c r="A30" s="69" t="s">
        <v>314</v>
      </c>
      <c r="B30" s="107">
        <v>160.80000000000001</v>
      </c>
      <c r="C30" s="107">
        <v>208.6</v>
      </c>
      <c r="D30" s="107">
        <v>230.3</v>
      </c>
      <c r="E30" s="107">
        <v>230.1</v>
      </c>
      <c r="F30" s="107">
        <v>241.4</v>
      </c>
      <c r="G30" s="107">
        <v>269.60000000000002</v>
      </c>
      <c r="H30" s="119"/>
      <c r="I30" s="119" t="s">
        <v>193</v>
      </c>
      <c r="J30" s="119" t="s">
        <v>193</v>
      </c>
      <c r="K30" s="119" t="s">
        <v>193</v>
      </c>
      <c r="L30" s="119" t="s">
        <v>193</v>
      </c>
      <c r="M30" s="119" t="s">
        <v>193</v>
      </c>
      <c r="N30" s="505" t="s">
        <v>193</v>
      </c>
      <c r="O30" s="119"/>
      <c r="P30" s="119" t="s">
        <v>193</v>
      </c>
      <c r="Q30" s="119" t="s">
        <v>193</v>
      </c>
      <c r="R30" s="119" t="s">
        <v>193</v>
      </c>
      <c r="S30" s="119" t="s">
        <v>193</v>
      </c>
      <c r="T30" s="119" t="s">
        <v>193</v>
      </c>
      <c r="U30" s="120" t="s">
        <v>193</v>
      </c>
    </row>
    <row r="31" spans="1:22" ht="13.8" thickTop="1">
      <c r="A31" s="75" t="s">
        <v>313</v>
      </c>
      <c r="B31" s="121"/>
      <c r="C31" s="121"/>
      <c r="D31" s="121"/>
      <c r="E31" s="121"/>
      <c r="F31" s="121"/>
      <c r="G31" s="121"/>
      <c r="H31" s="121"/>
      <c r="I31" s="121"/>
      <c r="J31" s="121"/>
      <c r="K31" s="121"/>
      <c r="L31" s="121"/>
      <c r="M31" s="121"/>
      <c r="N31" s="121"/>
      <c r="O31" s="121"/>
      <c r="P31" s="121"/>
      <c r="Q31" s="121"/>
      <c r="R31" s="121"/>
      <c r="S31" s="121"/>
      <c r="T31" s="121"/>
      <c r="U31" s="122"/>
    </row>
    <row r="32" spans="1:22">
      <c r="A32" s="124"/>
      <c r="B32" s="124"/>
      <c r="C32" s="124"/>
      <c r="D32" s="124"/>
      <c r="E32" s="124"/>
      <c r="F32" s="124"/>
      <c r="G32" s="124"/>
      <c r="H32" s="124"/>
      <c r="I32" s="124"/>
      <c r="J32" s="124"/>
      <c r="K32" s="124"/>
      <c r="L32" s="124"/>
      <c r="M32" s="124"/>
      <c r="N32" s="124"/>
      <c r="O32" s="124"/>
      <c r="P32" s="124"/>
      <c r="Q32" s="124"/>
      <c r="R32" s="124"/>
      <c r="S32" s="124"/>
      <c r="T32" s="124"/>
      <c r="U32" s="124"/>
    </row>
    <row r="33" spans="1:21">
      <c r="A33" s="530" t="s">
        <v>213</v>
      </c>
      <c r="B33" s="530"/>
      <c r="C33" s="530"/>
      <c r="D33" s="530"/>
      <c r="E33" s="530"/>
      <c r="F33" s="530"/>
      <c r="G33" s="530"/>
      <c r="H33" s="530"/>
      <c r="I33" s="19"/>
      <c r="J33" s="19"/>
      <c r="K33" s="19"/>
      <c r="L33" s="19"/>
      <c r="M33" s="19"/>
      <c r="N33" s="19"/>
      <c r="O33" s="19"/>
      <c r="P33" s="19"/>
      <c r="Q33" s="19"/>
      <c r="R33" s="19"/>
      <c r="S33" s="19"/>
      <c r="T33" s="19"/>
      <c r="U33" s="19"/>
    </row>
    <row r="34" spans="1:21" hidden="1"/>
    <row r="35" spans="1:21" hidden="1"/>
    <row r="36" spans="1:21" hidden="1"/>
  </sheetData>
  <sheetProtection password="CAF1" sheet="1" objects="1" scenarios="1" formatCells="0" formatColumns="0" formatRows="0" insertColumns="0" insertRows="0" insertHyperlinks="0" deleteColumns="0" deleteRows="0" sort="0" autoFilter="0" pivotTables="0"/>
  <mergeCells count="23">
    <mergeCell ref="A33:H33"/>
    <mergeCell ref="B28:G28"/>
    <mergeCell ref="B29:G29"/>
    <mergeCell ref="B22:F22"/>
    <mergeCell ref="A28:A29"/>
    <mergeCell ref="H28:H29"/>
    <mergeCell ref="B16:G16"/>
    <mergeCell ref="P2:T2"/>
    <mergeCell ref="B10:G10"/>
    <mergeCell ref="P4:U4"/>
    <mergeCell ref="P10:U10"/>
    <mergeCell ref="B2:F2"/>
    <mergeCell ref="I2:M2"/>
    <mergeCell ref="B4:G4"/>
    <mergeCell ref="I4:N4"/>
    <mergeCell ref="P28:T29"/>
    <mergeCell ref="P16:U16"/>
    <mergeCell ref="I10:N10"/>
    <mergeCell ref="I16:N16"/>
    <mergeCell ref="P22:T22"/>
    <mergeCell ref="I28:M29"/>
    <mergeCell ref="O28:O29"/>
    <mergeCell ref="I22:M22"/>
  </mergeCells>
  <phoneticPr fontId="7" type="noConversion"/>
  <hyperlinks>
    <hyperlink ref="A33:H33"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worksheet>
</file>

<file path=xl/worksheets/sheet8.xml><?xml version="1.0" encoding="utf-8"?>
<worksheet xmlns="http://schemas.openxmlformats.org/spreadsheetml/2006/main" xmlns:r="http://schemas.openxmlformats.org/officeDocument/2006/relationships">
  <dimension ref="A1:BS115"/>
  <sheetViews>
    <sheetView zoomScaleNormal="100" zoomScaleSheetLayoutView="100" workbookViewId="0"/>
  </sheetViews>
  <sheetFormatPr defaultColWidth="0" defaultRowHeight="13.2" zeroHeight="1" outlineLevelCol="1"/>
  <cols>
    <col min="1" max="1" width="31.5546875" style="1" customWidth="1"/>
    <col min="2" max="2" width="7.33203125" style="1" hidden="1" customWidth="1" outlineLevel="1"/>
    <col min="3" max="3" width="7.33203125" style="1" customWidth="1" collapsed="1"/>
    <col min="4" max="7" width="7.33203125" style="1" customWidth="1"/>
    <col min="8" max="8" width="1" style="4" customWidth="1"/>
    <col min="9" max="9" width="7.33203125" style="1" hidden="1" customWidth="1" outlineLevel="1"/>
    <col min="10" max="10" width="7.33203125" style="1" customWidth="1" collapsed="1"/>
    <col min="11" max="14" width="7.33203125" style="1" customWidth="1"/>
    <col min="15" max="15" width="1" style="4" customWidth="1"/>
    <col min="16" max="16" width="7.6640625" style="1" hidden="1" customWidth="1" outlineLevel="1"/>
    <col min="17" max="17" width="7.6640625" style="1" customWidth="1" collapsed="1"/>
    <col min="18" max="21" width="7.6640625" style="1" customWidth="1"/>
    <col min="22" max="71" width="7.6640625" style="4" hidden="1" customWidth="1"/>
    <col min="72" max="16384" width="0" style="4" hidden="1"/>
  </cols>
  <sheetData>
    <row r="1" spans="1:22" ht="15.6">
      <c r="A1" s="48" t="s">
        <v>320</v>
      </c>
      <c r="B1" s="28"/>
      <c r="C1" s="28"/>
      <c r="D1" s="28"/>
      <c r="E1" s="28"/>
      <c r="F1" s="28"/>
      <c r="G1" s="28"/>
      <c r="H1" s="49"/>
      <c r="I1" s="28"/>
      <c r="J1" s="28"/>
      <c r="K1" s="28"/>
      <c r="L1" s="28"/>
      <c r="M1" s="28"/>
      <c r="N1" s="28"/>
      <c r="O1" s="49"/>
      <c r="P1" s="28"/>
      <c r="Q1" s="28"/>
      <c r="R1" s="28"/>
      <c r="S1" s="28"/>
      <c r="T1" s="28"/>
      <c r="U1" s="28"/>
    </row>
    <row r="2" spans="1:22" ht="12.75" customHeight="1">
      <c r="A2" s="125"/>
      <c r="B2" s="538" t="s">
        <v>300</v>
      </c>
      <c r="C2" s="538"/>
      <c r="D2" s="538"/>
      <c r="E2" s="538"/>
      <c r="F2" s="538"/>
      <c r="G2" s="538"/>
      <c r="H2" s="127"/>
      <c r="I2" s="538" t="s">
        <v>300</v>
      </c>
      <c r="J2" s="538"/>
      <c r="K2" s="538"/>
      <c r="L2" s="538"/>
      <c r="M2" s="538"/>
      <c r="N2" s="538"/>
      <c r="O2" s="127"/>
      <c r="P2" s="538" t="s">
        <v>300</v>
      </c>
      <c r="Q2" s="538"/>
      <c r="R2" s="538"/>
      <c r="S2" s="538"/>
      <c r="T2" s="538"/>
      <c r="U2" s="538"/>
    </row>
    <row r="3" spans="1:22">
      <c r="A3" s="125"/>
      <c r="B3" s="128">
        <v>2005</v>
      </c>
      <c r="C3" s="128">
        <v>2006</v>
      </c>
      <c r="D3" s="128">
        <v>2007</v>
      </c>
      <c r="E3" s="128">
        <v>2008</v>
      </c>
      <c r="F3" s="128">
        <v>2009</v>
      </c>
      <c r="G3" s="128">
        <v>2010</v>
      </c>
      <c r="H3" s="129"/>
      <c r="I3" s="128">
        <v>2005</v>
      </c>
      <c r="J3" s="128">
        <v>2006</v>
      </c>
      <c r="K3" s="128">
        <v>2007</v>
      </c>
      <c r="L3" s="128">
        <v>2008</v>
      </c>
      <c r="M3" s="128">
        <v>2009</v>
      </c>
      <c r="N3" s="128">
        <v>2010</v>
      </c>
      <c r="O3" s="129"/>
      <c r="P3" s="128">
        <v>2005</v>
      </c>
      <c r="Q3" s="128">
        <v>2006</v>
      </c>
      <c r="R3" s="128">
        <v>2007</v>
      </c>
      <c r="S3" s="128">
        <v>2008</v>
      </c>
      <c r="T3" s="128">
        <v>2009</v>
      </c>
      <c r="U3" s="128">
        <v>2010</v>
      </c>
    </row>
    <row r="4" spans="1:22" ht="12.75" customHeight="1">
      <c r="A4" s="125"/>
      <c r="B4" s="538" t="s">
        <v>321</v>
      </c>
      <c r="C4" s="538"/>
      <c r="D4" s="538"/>
      <c r="E4" s="538"/>
      <c r="F4" s="538"/>
      <c r="G4" s="538"/>
      <c r="H4" s="130"/>
      <c r="I4" s="531" t="s">
        <v>322</v>
      </c>
      <c r="J4" s="531"/>
      <c r="K4" s="531"/>
      <c r="L4" s="531"/>
      <c r="M4" s="531"/>
      <c r="N4" s="531"/>
      <c r="O4" s="130"/>
      <c r="P4" s="531" t="s">
        <v>323</v>
      </c>
      <c r="Q4" s="531"/>
      <c r="R4" s="531"/>
      <c r="S4" s="531"/>
      <c r="T4" s="531"/>
      <c r="U4" s="531"/>
    </row>
    <row r="5" spans="1:22" ht="19.5" customHeight="1">
      <c r="A5" s="541" t="s">
        <v>324</v>
      </c>
      <c r="B5" s="40"/>
      <c r="C5" s="40"/>
      <c r="D5" s="40"/>
      <c r="E5" s="40"/>
      <c r="F5" s="40"/>
      <c r="G5" s="40"/>
      <c r="H5" s="131"/>
      <c r="I5" s="131"/>
      <c r="J5" s="131"/>
      <c r="K5" s="131"/>
      <c r="L5" s="131"/>
      <c r="M5" s="131"/>
      <c r="N5" s="131"/>
      <c r="O5" s="131"/>
      <c r="P5" s="131"/>
      <c r="Q5" s="131"/>
      <c r="R5" s="131"/>
      <c r="S5" s="131"/>
      <c r="T5" s="131"/>
      <c r="U5" s="131"/>
      <c r="V5" s="22"/>
    </row>
    <row r="6" spans="1:22">
      <c r="A6" s="541"/>
      <c r="B6" s="40"/>
      <c r="C6" s="40"/>
      <c r="D6" s="40"/>
      <c r="E6" s="40"/>
      <c r="F6" s="40"/>
      <c r="G6" s="40"/>
      <c r="H6" s="131"/>
      <c r="I6" s="131"/>
      <c r="J6" s="131"/>
      <c r="K6" s="131"/>
      <c r="L6" s="131"/>
      <c r="M6" s="131"/>
      <c r="N6" s="131"/>
      <c r="O6" s="131"/>
      <c r="P6" s="131"/>
      <c r="Q6" s="131"/>
      <c r="R6" s="131"/>
      <c r="S6" s="131"/>
      <c r="T6" s="131"/>
      <c r="U6" s="131"/>
      <c r="V6" s="22"/>
    </row>
    <row r="7" spans="1:22">
      <c r="A7" s="40" t="s">
        <v>317</v>
      </c>
      <c r="B7" s="110">
        <v>15714.7</v>
      </c>
      <c r="C7" s="110">
        <v>17902.5</v>
      </c>
      <c r="D7" s="110">
        <v>17319.5</v>
      </c>
      <c r="E7" s="110">
        <v>17196.8</v>
      </c>
      <c r="F7" s="110">
        <v>17645.5</v>
      </c>
      <c r="G7" s="110">
        <v>18029.400000000001</v>
      </c>
      <c r="H7" s="131"/>
      <c r="I7" s="110">
        <f t="shared" ref="I7:N7" si="0">ROUND(B7*1.154,1)</f>
        <v>18134.8</v>
      </c>
      <c r="J7" s="110">
        <f t="shared" si="0"/>
        <v>20659.5</v>
      </c>
      <c r="K7" s="110">
        <f t="shared" si="0"/>
        <v>19986.7</v>
      </c>
      <c r="L7" s="110">
        <f t="shared" si="0"/>
        <v>19845.099999999999</v>
      </c>
      <c r="M7" s="110">
        <f t="shared" si="0"/>
        <v>20362.900000000001</v>
      </c>
      <c r="N7" s="110">
        <f t="shared" si="0"/>
        <v>20805.900000000001</v>
      </c>
      <c r="O7" s="110"/>
      <c r="P7" s="110">
        <f t="shared" ref="P7:U7" si="1">ROUND(B7*5.89,1)</f>
        <v>92559.6</v>
      </c>
      <c r="Q7" s="110">
        <f t="shared" si="1"/>
        <v>105445.7</v>
      </c>
      <c r="R7" s="110">
        <f t="shared" si="1"/>
        <v>102011.9</v>
      </c>
      <c r="S7" s="110">
        <f t="shared" si="1"/>
        <v>101289.2</v>
      </c>
      <c r="T7" s="110">
        <f t="shared" si="1"/>
        <v>103932</v>
      </c>
      <c r="U7" s="110">
        <f t="shared" si="1"/>
        <v>106193.2</v>
      </c>
      <c r="V7" s="22"/>
    </row>
    <row r="8" spans="1:22">
      <c r="A8" s="52" t="s">
        <v>318</v>
      </c>
      <c r="B8" s="107">
        <f>IF(4672&lt;&gt;B9-B7,B9-B7,4672)</f>
        <v>4671.8999999999978</v>
      </c>
      <c r="C8" s="107">
        <v>2572.4</v>
      </c>
      <c r="D8" s="107">
        <v>2539.4</v>
      </c>
      <c r="E8" s="107">
        <v>2908.8</v>
      </c>
      <c r="F8" s="110">
        <v>3255.2</v>
      </c>
      <c r="G8" s="110">
        <v>3420.6</v>
      </c>
      <c r="H8" s="131"/>
      <c r="I8" s="107">
        <f>IF(ROUND(B8*1.154,1)&lt;&gt;I9-I7,I9-I7,ROUND(B8*1.154,1))</f>
        <v>5391.2999999999993</v>
      </c>
      <c r="J8" s="110">
        <f t="shared" ref="J8:N9" si="2">ROUND(C8*1.154,1)</f>
        <v>2968.5</v>
      </c>
      <c r="K8" s="110">
        <f t="shared" si="2"/>
        <v>2930.5</v>
      </c>
      <c r="L8" s="110">
        <f t="shared" si="2"/>
        <v>3356.8</v>
      </c>
      <c r="M8" s="110">
        <f t="shared" si="2"/>
        <v>3756.5</v>
      </c>
      <c r="N8" s="110">
        <f t="shared" si="2"/>
        <v>3947.4</v>
      </c>
      <c r="O8" s="110"/>
      <c r="P8" s="107">
        <f>IF(ROUND(B8*5.89,1)&lt;&gt;P9-P7,P9-P7,ROUND(B8*5.89,1))</f>
        <v>27517.5</v>
      </c>
      <c r="Q8" s="107">
        <f>IF(ROUND(C8*5.89,1)&lt;&gt;Q9-Q7,Q9-Q7,ROUND(C8*5.89,1))</f>
        <v>15151.5</v>
      </c>
      <c r="R8" s="107">
        <f>ROUND(D8*5.89,1)</f>
        <v>14957.1</v>
      </c>
      <c r="S8" s="110">
        <f t="shared" ref="S8:U9" si="3">ROUND(E8*5.89,1)</f>
        <v>17132.8</v>
      </c>
      <c r="T8" s="110">
        <f t="shared" si="3"/>
        <v>19173.099999999999</v>
      </c>
      <c r="U8" s="110">
        <f t="shared" si="3"/>
        <v>20147.3</v>
      </c>
      <c r="V8" s="7"/>
    </row>
    <row r="9" spans="1:22" ht="13.8" thickBot="1">
      <c r="A9" s="63" t="s">
        <v>319</v>
      </c>
      <c r="B9" s="132">
        <v>20386.599999999999</v>
      </c>
      <c r="C9" s="132">
        <v>20474.900000000001</v>
      </c>
      <c r="D9" s="132">
        <v>19858.900000000001</v>
      </c>
      <c r="E9" s="132">
        <v>20105.599999999999</v>
      </c>
      <c r="F9" s="132">
        <v>20900.7</v>
      </c>
      <c r="G9" s="132">
        <v>21450</v>
      </c>
      <c r="H9" s="110"/>
      <c r="I9" s="110">
        <f>ROUND(B9*1.154,1)</f>
        <v>23526.1</v>
      </c>
      <c r="J9" s="110">
        <f t="shared" si="2"/>
        <v>23628</v>
      </c>
      <c r="K9" s="110">
        <f t="shared" si="2"/>
        <v>22917.200000000001</v>
      </c>
      <c r="L9" s="110">
        <f t="shared" si="2"/>
        <v>23201.9</v>
      </c>
      <c r="M9" s="110">
        <f t="shared" si="2"/>
        <v>24119.4</v>
      </c>
      <c r="N9" s="110">
        <f t="shared" si="2"/>
        <v>24753.3</v>
      </c>
      <c r="O9" s="110"/>
      <c r="P9" s="110">
        <f>ROUND(B9*5.89,1)</f>
        <v>120077.1</v>
      </c>
      <c r="Q9" s="110">
        <f>ROUND(C9*5.89,1)</f>
        <v>120597.2</v>
      </c>
      <c r="R9" s="110">
        <f>ROUNDUP(D9*5.89, 1)</f>
        <v>116969</v>
      </c>
      <c r="S9" s="110">
        <f t="shared" si="3"/>
        <v>118422</v>
      </c>
      <c r="T9" s="110">
        <f t="shared" si="3"/>
        <v>123105.1</v>
      </c>
      <c r="U9" s="110">
        <f t="shared" si="3"/>
        <v>126340.5</v>
      </c>
      <c r="V9" s="22"/>
    </row>
    <row r="10" spans="1:22" ht="13.5" customHeight="1">
      <c r="A10" s="540" t="s">
        <v>325</v>
      </c>
      <c r="B10" s="542" t="s">
        <v>329</v>
      </c>
      <c r="C10" s="542"/>
      <c r="D10" s="542"/>
      <c r="E10" s="542"/>
      <c r="F10" s="542"/>
      <c r="G10" s="542"/>
      <c r="H10" s="131"/>
      <c r="I10" s="40"/>
      <c r="J10" s="40"/>
      <c r="K10" s="40"/>
      <c r="L10" s="40"/>
      <c r="M10" s="40"/>
      <c r="N10" s="40"/>
      <c r="O10" s="131"/>
      <c r="P10" s="40"/>
      <c r="Q10" s="40"/>
      <c r="R10" s="40"/>
      <c r="S10" s="40"/>
      <c r="T10" s="40"/>
      <c r="U10" s="40"/>
      <c r="V10" s="22"/>
    </row>
    <row r="11" spans="1:22" ht="12.75" customHeight="1" thickBot="1">
      <c r="A11" s="541"/>
      <c r="B11" s="133">
        <v>0.75680000000000003</v>
      </c>
      <c r="C11" s="133">
        <v>0.75680000000000003</v>
      </c>
      <c r="D11" s="133">
        <v>0.75680000000000003</v>
      </c>
      <c r="E11" s="133">
        <v>0.75680000000000003</v>
      </c>
      <c r="F11" s="133">
        <v>0.95679999999999998</v>
      </c>
      <c r="G11" s="133">
        <v>0.95679999999999998</v>
      </c>
      <c r="H11" s="131"/>
      <c r="I11" s="119"/>
      <c r="J11" s="119"/>
      <c r="K11" s="119"/>
      <c r="L11" s="119"/>
      <c r="M11" s="119"/>
      <c r="N11" s="119"/>
      <c r="O11" s="131"/>
      <c r="P11" s="119"/>
      <c r="Q11" s="119"/>
      <c r="R11" s="119"/>
      <c r="S11" s="119"/>
      <c r="T11" s="119"/>
      <c r="U11" s="119"/>
      <c r="V11" s="22"/>
    </row>
    <row r="12" spans="1:22">
      <c r="A12" s="134" t="s">
        <v>326</v>
      </c>
      <c r="B12" s="135">
        <v>66.8</v>
      </c>
      <c r="C12" s="135">
        <v>29.5</v>
      </c>
      <c r="D12" s="135">
        <v>20.6</v>
      </c>
      <c r="E12" s="135">
        <v>73.2</v>
      </c>
      <c r="F12" s="135">
        <v>80.7</v>
      </c>
      <c r="G12" s="135">
        <v>118.9</v>
      </c>
      <c r="H12" s="131"/>
      <c r="I12" s="110">
        <f t="shared" ref="I12:N12" si="4">ROUND(B12*1.154,1)</f>
        <v>77.099999999999994</v>
      </c>
      <c r="J12" s="110">
        <f t="shared" si="4"/>
        <v>34</v>
      </c>
      <c r="K12" s="110">
        <f t="shared" si="4"/>
        <v>23.8</v>
      </c>
      <c r="L12" s="110">
        <f t="shared" si="4"/>
        <v>84.5</v>
      </c>
      <c r="M12" s="110">
        <f t="shared" si="4"/>
        <v>93.1</v>
      </c>
      <c r="N12" s="110">
        <f t="shared" si="4"/>
        <v>137.19999999999999</v>
      </c>
      <c r="O12" s="136"/>
      <c r="P12" s="110">
        <f>ROUND(B12*5.89,1)</f>
        <v>393.5</v>
      </c>
      <c r="Q12" s="110">
        <f>ROUND(C12*5.89,1)</f>
        <v>173.8</v>
      </c>
      <c r="R12" s="110">
        <f>ROUND(D12*5.89,1)</f>
        <v>121.3</v>
      </c>
      <c r="S12" s="110">
        <f>ROUND(E12*5.89,1)</f>
        <v>431.1</v>
      </c>
      <c r="T12" s="110">
        <f>ROUND(F12*5.89,1)</f>
        <v>475.3</v>
      </c>
      <c r="U12" s="110">
        <f>ROUNDUP(G12*5.89,1)</f>
        <v>700.4</v>
      </c>
      <c r="V12" s="22"/>
    </row>
    <row r="13" spans="1:22">
      <c r="A13" s="134" t="s">
        <v>327</v>
      </c>
      <c r="B13" s="135">
        <v>81.3</v>
      </c>
      <c r="C13" s="135">
        <v>3.6</v>
      </c>
      <c r="D13" s="135">
        <v>1.8</v>
      </c>
      <c r="E13" s="135">
        <v>169.1</v>
      </c>
      <c r="F13" s="135">
        <v>72.599999999999994</v>
      </c>
      <c r="G13" s="135">
        <v>98.1</v>
      </c>
      <c r="H13" s="131"/>
      <c r="I13" s="110">
        <f t="shared" ref="I13:K14" si="5">ROUND(B13*1.154,1)</f>
        <v>93.8</v>
      </c>
      <c r="J13" s="110">
        <f t="shared" si="5"/>
        <v>4.2</v>
      </c>
      <c r="K13" s="110">
        <f t="shared" si="5"/>
        <v>2.1</v>
      </c>
      <c r="L13" s="107">
        <f>IF(ROUND(E13*1.154,1)&lt;&gt;L14-L12,L14-L12,ROUND(E13*1.154,1))</f>
        <v>195.1</v>
      </c>
      <c r="M13" s="110">
        <f>ROUND(F13*1.154,1)</f>
        <v>83.8</v>
      </c>
      <c r="N13" s="110">
        <f>ROUND(G13*1.154,1)</f>
        <v>113.2</v>
      </c>
      <c r="O13" s="136"/>
      <c r="P13" s="107">
        <f>IF(ROUND(B13*5.89,1)&lt;&gt;P14-P12,P14-P12,ROUND(B13*5.89,1))</f>
        <v>478.79999999999995</v>
      </c>
      <c r="Q13" s="110">
        <f t="shared" ref="Q13:T14" si="6">ROUND(C13*5.89,1)</f>
        <v>21.2</v>
      </c>
      <c r="R13" s="110">
        <f t="shared" si="6"/>
        <v>10.6</v>
      </c>
      <c r="S13" s="110">
        <f t="shared" si="6"/>
        <v>996</v>
      </c>
      <c r="T13" s="110">
        <f t="shared" si="6"/>
        <v>427.6</v>
      </c>
      <c r="U13" s="110">
        <f>ROUNDDOWN(G13*5.89,1)</f>
        <v>577.79999999999995</v>
      </c>
      <c r="V13" s="22"/>
    </row>
    <row r="14" spans="1:22" ht="13.8" thickBot="1">
      <c r="A14" s="137" t="s">
        <v>328</v>
      </c>
      <c r="B14" s="138">
        <v>148.1</v>
      </c>
      <c r="C14" s="138">
        <v>33.1</v>
      </c>
      <c r="D14" s="138">
        <v>22.4</v>
      </c>
      <c r="E14" s="138">
        <v>242.3</v>
      </c>
      <c r="F14" s="138">
        <v>153.30000000000001</v>
      </c>
      <c r="G14" s="138">
        <v>217</v>
      </c>
      <c r="H14" s="136"/>
      <c r="I14" s="110">
        <f t="shared" si="5"/>
        <v>170.9</v>
      </c>
      <c r="J14" s="110">
        <f t="shared" si="5"/>
        <v>38.200000000000003</v>
      </c>
      <c r="K14" s="110">
        <f>ROUNDUP(D14*1.154,1)</f>
        <v>25.900000000000002</v>
      </c>
      <c r="L14" s="110">
        <f>ROUND(E14*1.154,1)</f>
        <v>279.60000000000002</v>
      </c>
      <c r="M14" s="110">
        <f>ROUND(F14*1.154,1)</f>
        <v>176.9</v>
      </c>
      <c r="N14" s="110">
        <f>ROUND(G14*1.154,1)</f>
        <v>250.4</v>
      </c>
      <c r="O14" s="136"/>
      <c r="P14" s="110">
        <f>ROUND(B14*5.89,1)</f>
        <v>872.3</v>
      </c>
      <c r="Q14" s="110">
        <f t="shared" si="6"/>
        <v>195</v>
      </c>
      <c r="R14" s="110">
        <f>ROUND(D14*5.89, 1)</f>
        <v>131.9</v>
      </c>
      <c r="S14" s="110">
        <f t="shared" si="6"/>
        <v>1427.1</v>
      </c>
      <c r="T14" s="110">
        <f t="shared" si="6"/>
        <v>902.9</v>
      </c>
      <c r="U14" s="110">
        <f>ROUNDUP(G14*5.89,1)</f>
        <v>1278.1999999999998</v>
      </c>
      <c r="V14" s="22"/>
    </row>
    <row r="15" spans="1:22" ht="13.5" customHeight="1">
      <c r="A15" s="540" t="s">
        <v>330</v>
      </c>
      <c r="B15" s="542" t="s">
        <v>329</v>
      </c>
      <c r="C15" s="542"/>
      <c r="D15" s="542"/>
      <c r="E15" s="542"/>
      <c r="F15" s="542"/>
      <c r="G15" s="542"/>
      <c r="H15" s="131"/>
      <c r="I15" s="40"/>
      <c r="J15" s="40"/>
      <c r="K15" s="40"/>
      <c r="L15" s="40"/>
      <c r="M15" s="40"/>
      <c r="N15" s="40"/>
      <c r="O15" s="131"/>
      <c r="P15" s="40"/>
      <c r="Q15" s="40"/>
      <c r="R15" s="40"/>
      <c r="S15" s="40"/>
      <c r="T15" s="40"/>
      <c r="U15" s="40"/>
      <c r="V15" s="22"/>
    </row>
    <row r="16" spans="1:22" ht="12.75" customHeight="1" thickBot="1">
      <c r="A16" s="541"/>
      <c r="B16" s="139">
        <v>0.51</v>
      </c>
      <c r="C16" s="139">
        <v>0.51</v>
      </c>
      <c r="D16" s="139">
        <v>0.51</v>
      </c>
      <c r="E16" s="139">
        <v>0.51</v>
      </c>
      <c r="F16" s="140">
        <v>0.51</v>
      </c>
      <c r="G16" s="140">
        <v>0.51</v>
      </c>
      <c r="H16" s="131"/>
      <c r="I16" s="119"/>
      <c r="J16" s="119"/>
      <c r="K16" s="119"/>
      <c r="L16" s="119"/>
      <c r="M16" s="119"/>
      <c r="N16" s="119"/>
      <c r="O16" s="131"/>
      <c r="P16" s="119"/>
      <c r="Q16" s="119"/>
      <c r="R16" s="119"/>
      <c r="S16" s="119"/>
      <c r="T16" s="119"/>
      <c r="U16" s="119"/>
      <c r="V16" s="22"/>
    </row>
    <row r="17" spans="1:24">
      <c r="A17" s="52" t="s">
        <v>317</v>
      </c>
      <c r="B17" s="135">
        <v>270.60000000000002</v>
      </c>
      <c r="C17" s="135">
        <v>255.6</v>
      </c>
      <c r="D17" s="135">
        <v>233.1</v>
      </c>
      <c r="E17" s="135">
        <v>217.9</v>
      </c>
      <c r="F17" s="135">
        <v>206.4</v>
      </c>
      <c r="G17" s="135">
        <v>191.3</v>
      </c>
      <c r="H17" s="131"/>
      <c r="I17" s="110">
        <f t="shared" ref="I17:N19" si="7">ROUND(B17*1.154,1)</f>
        <v>312.3</v>
      </c>
      <c r="J17" s="110">
        <f t="shared" si="7"/>
        <v>295</v>
      </c>
      <c r="K17" s="110">
        <f t="shared" si="7"/>
        <v>269</v>
      </c>
      <c r="L17" s="110">
        <f t="shared" si="7"/>
        <v>251.5</v>
      </c>
      <c r="M17" s="110">
        <f t="shared" si="7"/>
        <v>238.2</v>
      </c>
      <c r="N17" s="110">
        <f t="shared" si="7"/>
        <v>220.8</v>
      </c>
      <c r="O17" s="136"/>
      <c r="P17" s="110">
        <f>ROUND(B17*5.89,1)</f>
        <v>1593.8</v>
      </c>
      <c r="Q17" s="110">
        <f>ROUND(C17*5.89,1)</f>
        <v>1505.5</v>
      </c>
      <c r="R17" s="110">
        <f>ROUND(D17*5.89,1)</f>
        <v>1373</v>
      </c>
      <c r="S17" s="110">
        <f>ROUND(E17*5.89,1)</f>
        <v>1283.4000000000001</v>
      </c>
      <c r="T17" s="110">
        <f>ROUND(F17*5.89,1)</f>
        <v>1215.7</v>
      </c>
      <c r="U17" s="110">
        <f>ROUNDDOWN(G17*5.89,1)</f>
        <v>1126.7</v>
      </c>
      <c r="V17" s="22"/>
    </row>
    <row r="18" spans="1:24">
      <c r="A18" s="52" t="s">
        <v>318</v>
      </c>
      <c r="B18" s="135">
        <v>4</v>
      </c>
      <c r="C18" s="135">
        <v>4</v>
      </c>
      <c r="D18" s="135">
        <v>3.9</v>
      </c>
      <c r="E18" s="135">
        <v>3.9</v>
      </c>
      <c r="F18" s="135">
        <v>3.9</v>
      </c>
      <c r="G18" s="135">
        <v>3.9</v>
      </c>
      <c r="H18" s="131"/>
      <c r="I18" s="110">
        <f t="shared" si="7"/>
        <v>4.5999999999999996</v>
      </c>
      <c r="J18" s="110">
        <f t="shared" si="7"/>
        <v>4.5999999999999996</v>
      </c>
      <c r="K18" s="110">
        <f t="shared" si="7"/>
        <v>4.5</v>
      </c>
      <c r="L18" s="110">
        <f t="shared" si="7"/>
        <v>4.5</v>
      </c>
      <c r="M18" s="110">
        <f t="shared" si="7"/>
        <v>4.5</v>
      </c>
      <c r="N18" s="110">
        <f t="shared" si="7"/>
        <v>4.5</v>
      </c>
      <c r="O18" s="136"/>
      <c r="P18" s="110">
        <f>ROUND(B18*5.89,1)</f>
        <v>23.6</v>
      </c>
      <c r="Q18" s="107">
        <f>IF(ROUND(C18*5.89,1)&lt;&gt;Q19-Q17,Q19-Q17,ROUND(C18*5.89,1))</f>
        <v>23.5</v>
      </c>
      <c r="R18" s="107">
        <f>ROUNDDOWN(D18*5.89,1)</f>
        <v>22.9</v>
      </c>
      <c r="S18" s="110">
        <f t="shared" ref="S18:U19" si="8">ROUND(E18*5.89,1)</f>
        <v>23</v>
      </c>
      <c r="T18" s="110">
        <f t="shared" si="8"/>
        <v>23</v>
      </c>
      <c r="U18" s="110">
        <f t="shared" si="8"/>
        <v>23</v>
      </c>
      <c r="V18" s="22"/>
      <c r="X18" s="16"/>
    </row>
    <row r="19" spans="1:24" ht="13.8" thickBot="1">
      <c r="A19" s="63" t="s">
        <v>319</v>
      </c>
      <c r="B19" s="136">
        <v>274.60000000000002</v>
      </c>
      <c r="C19" s="136">
        <v>259.60000000000002</v>
      </c>
      <c r="D19" s="136">
        <v>237</v>
      </c>
      <c r="E19" s="136">
        <v>221.8</v>
      </c>
      <c r="F19" s="136">
        <v>210.3</v>
      </c>
      <c r="G19" s="136">
        <v>195.2</v>
      </c>
      <c r="H19" s="136"/>
      <c r="I19" s="110">
        <f t="shared" si="7"/>
        <v>316.89999999999998</v>
      </c>
      <c r="J19" s="110">
        <f t="shared" si="7"/>
        <v>299.60000000000002</v>
      </c>
      <c r="K19" s="110">
        <f t="shared" si="7"/>
        <v>273.5</v>
      </c>
      <c r="L19" s="110">
        <f t="shared" si="7"/>
        <v>256</v>
      </c>
      <c r="M19" s="110">
        <f t="shared" si="7"/>
        <v>242.7</v>
      </c>
      <c r="N19" s="110">
        <f t="shared" si="7"/>
        <v>225.3</v>
      </c>
      <c r="O19" s="136"/>
      <c r="P19" s="110">
        <f>ROUND(B19*5.89,1)</f>
        <v>1617.4</v>
      </c>
      <c r="Q19" s="110">
        <f>ROUND(C19*5.89,1)</f>
        <v>1529</v>
      </c>
      <c r="R19" s="110">
        <f>ROUND(D19*5.89, 1)</f>
        <v>1395.9</v>
      </c>
      <c r="S19" s="110">
        <f t="shared" si="8"/>
        <v>1306.4000000000001</v>
      </c>
      <c r="T19" s="110">
        <f t="shared" si="8"/>
        <v>1238.7</v>
      </c>
      <c r="U19" s="110">
        <f t="shared" si="8"/>
        <v>1149.7</v>
      </c>
      <c r="V19" s="22"/>
    </row>
    <row r="20" spans="1:24" ht="13.5" customHeight="1">
      <c r="A20" s="540" t="s">
        <v>331</v>
      </c>
      <c r="B20" s="539" t="s">
        <v>329</v>
      </c>
      <c r="C20" s="539"/>
      <c r="D20" s="539"/>
      <c r="E20" s="539"/>
      <c r="F20" s="539"/>
      <c r="G20" s="539"/>
      <c r="H20" s="131"/>
      <c r="I20" s="40"/>
      <c r="J20" s="40"/>
      <c r="K20" s="40"/>
      <c r="L20" s="40"/>
      <c r="M20" s="40"/>
      <c r="N20" s="40"/>
      <c r="O20" s="131"/>
      <c r="P20" s="40"/>
      <c r="Q20" s="40"/>
      <c r="R20" s="40"/>
      <c r="S20" s="40"/>
      <c r="T20" s="40"/>
      <c r="U20" s="40"/>
      <c r="V20" s="22"/>
    </row>
    <row r="21" spans="1:24" ht="12.75" customHeight="1" thickBot="1">
      <c r="A21" s="541"/>
      <c r="B21" s="139">
        <v>1</v>
      </c>
      <c r="C21" s="139">
        <v>1</v>
      </c>
      <c r="D21" s="139">
        <v>0.65</v>
      </c>
      <c r="E21" s="139">
        <v>0.65</v>
      </c>
      <c r="F21" s="141">
        <v>0.50000999999999995</v>
      </c>
      <c r="G21" s="141">
        <v>0.50000999999999995</v>
      </c>
      <c r="H21" s="131"/>
      <c r="I21" s="119"/>
      <c r="J21" s="119"/>
      <c r="K21" s="119"/>
      <c r="L21" s="119"/>
      <c r="M21" s="119"/>
      <c r="N21" s="119"/>
      <c r="O21" s="131"/>
      <c r="P21" s="119"/>
      <c r="Q21" s="119"/>
      <c r="R21" s="119"/>
      <c r="S21" s="119"/>
      <c r="T21" s="119"/>
      <c r="U21" s="119"/>
      <c r="V21" s="22"/>
    </row>
    <row r="22" spans="1:24">
      <c r="A22" s="52" t="s">
        <v>317</v>
      </c>
      <c r="B22" s="108" t="s">
        <v>1100</v>
      </c>
      <c r="C22" s="108" t="s">
        <v>1100</v>
      </c>
      <c r="D22" s="135">
        <v>713.3</v>
      </c>
      <c r="E22" s="135">
        <v>699.9</v>
      </c>
      <c r="F22" s="135">
        <v>677.3</v>
      </c>
      <c r="G22" s="135">
        <v>651.70000000000005</v>
      </c>
      <c r="H22" s="131"/>
      <c r="I22" s="108" t="s">
        <v>1100</v>
      </c>
      <c r="J22" s="108" t="s">
        <v>1100</v>
      </c>
      <c r="K22" s="110">
        <f>ROUND(D22*1.154,1)</f>
        <v>823.1</v>
      </c>
      <c r="L22" s="110">
        <f>ROUNDDOWN(E22*1.154,1)</f>
        <v>807.6</v>
      </c>
      <c r="M22" s="110">
        <f t="shared" ref="M22:N24" si="9">ROUND(F22*1.154,1)</f>
        <v>781.6</v>
      </c>
      <c r="N22" s="110">
        <f>ROUNDDOWN(G22*1.154,1)</f>
        <v>752</v>
      </c>
      <c r="O22" s="136"/>
      <c r="P22" s="108" t="s">
        <v>1100</v>
      </c>
      <c r="Q22" s="108" t="s">
        <v>1100</v>
      </c>
      <c r="R22" s="110">
        <f>ROUND(D22*5.89,1)</f>
        <v>4201.3</v>
      </c>
      <c r="S22" s="110">
        <f t="shared" ref="R22:U24" si="10">ROUND(E22*5.89,1)</f>
        <v>4122.3999999999996</v>
      </c>
      <c r="T22" s="110">
        <f t="shared" si="10"/>
        <v>3989.3</v>
      </c>
      <c r="U22" s="110">
        <f t="shared" si="10"/>
        <v>3838.5</v>
      </c>
      <c r="V22" s="22"/>
    </row>
    <row r="23" spans="1:24">
      <c r="A23" s="52" t="s">
        <v>318</v>
      </c>
      <c r="B23" s="108" t="s">
        <v>1100</v>
      </c>
      <c r="C23" s="108" t="s">
        <v>1100</v>
      </c>
      <c r="D23" s="135">
        <v>6.4</v>
      </c>
      <c r="E23" s="135">
        <v>6.4</v>
      </c>
      <c r="F23" s="135">
        <v>6.4</v>
      </c>
      <c r="G23" s="135">
        <v>6.4</v>
      </c>
      <c r="H23" s="131"/>
      <c r="I23" s="108" t="s">
        <v>1100</v>
      </c>
      <c r="J23" s="108" t="s">
        <v>1100</v>
      </c>
      <c r="K23" s="110">
        <f>ROUND(D23*1.154,1)</f>
        <v>7.4</v>
      </c>
      <c r="L23" s="107">
        <f>ROUNDUP(E23*1.154, 1)</f>
        <v>7.3999999999999995</v>
      </c>
      <c r="M23" s="110">
        <f t="shared" si="9"/>
        <v>7.4</v>
      </c>
      <c r="N23" s="110">
        <f t="shared" si="9"/>
        <v>7.4</v>
      </c>
      <c r="O23" s="136"/>
      <c r="P23" s="108" t="s">
        <v>1100</v>
      </c>
      <c r="Q23" s="108" t="s">
        <v>1100</v>
      </c>
      <c r="R23" s="107">
        <f>ROUND(D23*5.89,1)</f>
        <v>37.700000000000003</v>
      </c>
      <c r="S23" s="110">
        <f t="shared" si="10"/>
        <v>37.700000000000003</v>
      </c>
      <c r="T23" s="110">
        <f t="shared" si="10"/>
        <v>37.700000000000003</v>
      </c>
      <c r="U23" s="110">
        <f t="shared" si="10"/>
        <v>37.700000000000003</v>
      </c>
      <c r="V23" s="22"/>
    </row>
    <row r="24" spans="1:24" ht="12.75" customHeight="1" thickBot="1">
      <c r="A24" s="63" t="s">
        <v>319</v>
      </c>
      <c r="B24" s="138" t="s">
        <v>1100</v>
      </c>
      <c r="C24" s="138" t="s">
        <v>1100</v>
      </c>
      <c r="D24" s="138">
        <v>719.7</v>
      </c>
      <c r="E24" s="138">
        <v>706.3</v>
      </c>
      <c r="F24" s="138">
        <v>683.7</v>
      </c>
      <c r="G24" s="138">
        <v>658.1</v>
      </c>
      <c r="H24" s="136"/>
      <c r="I24" s="138" t="s">
        <v>1100</v>
      </c>
      <c r="J24" s="138" t="s">
        <v>1100</v>
      </c>
      <c r="K24" s="138">
        <f>ROUND(D24*1.154,1)</f>
        <v>830.5</v>
      </c>
      <c r="L24" s="138">
        <f>-L9-L14-L19+L28</f>
        <v>815</v>
      </c>
      <c r="M24" s="138">
        <f t="shared" si="9"/>
        <v>789</v>
      </c>
      <c r="N24" s="138">
        <f t="shared" si="9"/>
        <v>759.4</v>
      </c>
      <c r="O24" s="136"/>
      <c r="P24" s="138" t="s">
        <v>1100</v>
      </c>
      <c r="Q24" s="138" t="s">
        <v>1100</v>
      </c>
      <c r="R24" s="132">
        <f t="shared" si="10"/>
        <v>4239</v>
      </c>
      <c r="S24" s="132">
        <f t="shared" si="10"/>
        <v>4160.1000000000004</v>
      </c>
      <c r="T24" s="132">
        <f t="shared" si="10"/>
        <v>4027</v>
      </c>
      <c r="U24" s="132">
        <f t="shared" si="10"/>
        <v>3876.2</v>
      </c>
      <c r="V24" s="22"/>
    </row>
    <row r="25" spans="1:24">
      <c r="A25" s="31" t="s">
        <v>282</v>
      </c>
      <c r="B25" s="390"/>
      <c r="C25" s="390"/>
      <c r="D25" s="390"/>
      <c r="E25" s="118"/>
      <c r="F25" s="118"/>
      <c r="G25" s="118"/>
      <c r="H25" s="390"/>
      <c r="I25" s="118"/>
      <c r="J25" s="118"/>
      <c r="K25" s="390"/>
      <c r="L25" s="390"/>
      <c r="M25" s="390"/>
      <c r="N25" s="390"/>
      <c r="O25" s="390"/>
      <c r="P25" s="390"/>
      <c r="Q25" s="390"/>
      <c r="R25" s="390"/>
      <c r="S25" s="131"/>
      <c r="T25" s="131"/>
      <c r="U25" s="131"/>
      <c r="V25" s="22"/>
    </row>
    <row r="26" spans="1:24">
      <c r="A26" s="52" t="s">
        <v>317</v>
      </c>
      <c r="B26" s="107">
        <v>16052.1</v>
      </c>
      <c r="C26" s="107">
        <v>18187.599999999999</v>
      </c>
      <c r="D26" s="107">
        <v>18286.5</v>
      </c>
      <c r="E26" s="107">
        <v>18187.8</v>
      </c>
      <c r="F26" s="107">
        <v>18609.900000000001</v>
      </c>
      <c r="G26" s="107">
        <v>18991.3</v>
      </c>
      <c r="H26" s="131"/>
      <c r="I26" s="110">
        <f>I7+I12+I17</f>
        <v>18524.199999999997</v>
      </c>
      <c r="J26" s="110">
        <f>J7+J12+J17</f>
        <v>20988.5</v>
      </c>
      <c r="K26" s="110">
        <f t="shared" ref="K26:N27" si="11">K7+K12+K17+K22</f>
        <v>21102.6</v>
      </c>
      <c r="L26" s="110">
        <f t="shared" si="11"/>
        <v>20988.699999999997</v>
      </c>
      <c r="M26" s="110">
        <f t="shared" si="11"/>
        <v>21475.8</v>
      </c>
      <c r="N26" s="110">
        <f t="shared" si="11"/>
        <v>21915.9</v>
      </c>
      <c r="O26" s="110"/>
      <c r="P26" s="110">
        <f t="shared" ref="P26:Q28" si="12">ROUND(B26*5.89,1)</f>
        <v>94546.9</v>
      </c>
      <c r="Q26" s="110">
        <f t="shared" si="12"/>
        <v>107125</v>
      </c>
      <c r="R26" s="110">
        <f t="shared" ref="R26:U27" si="13">R7+R12+R17+R22</f>
        <v>107707.5</v>
      </c>
      <c r="S26" s="110">
        <f t="shared" si="13"/>
        <v>107126.09999999999</v>
      </c>
      <c r="T26" s="110">
        <f t="shared" si="13"/>
        <v>109612.3</v>
      </c>
      <c r="U26" s="110">
        <f t="shared" si="13"/>
        <v>111858.79999999999</v>
      </c>
      <c r="V26" s="22"/>
    </row>
    <row r="27" spans="1:24">
      <c r="A27" s="52" t="s">
        <v>318</v>
      </c>
      <c r="B27" s="107">
        <v>4757.2</v>
      </c>
      <c r="C27" s="107">
        <v>2580</v>
      </c>
      <c r="D27" s="107">
        <v>2551.5</v>
      </c>
      <c r="E27" s="107">
        <v>3088.2</v>
      </c>
      <c r="F27" s="107">
        <v>3338.1</v>
      </c>
      <c r="G27" s="107">
        <v>3529</v>
      </c>
      <c r="H27" s="131"/>
      <c r="I27" s="110">
        <f>I8+I13+I18</f>
        <v>5489.7</v>
      </c>
      <c r="J27" s="110">
        <f>J8+J13+J18</f>
        <v>2977.2999999999997</v>
      </c>
      <c r="K27" s="110">
        <f t="shared" si="11"/>
        <v>2944.5</v>
      </c>
      <c r="L27" s="110">
        <f t="shared" si="11"/>
        <v>3563.8</v>
      </c>
      <c r="M27" s="110">
        <f t="shared" si="11"/>
        <v>3852.2000000000003</v>
      </c>
      <c r="N27" s="110">
        <f t="shared" si="11"/>
        <v>4072.5</v>
      </c>
      <c r="O27" s="110"/>
      <c r="P27" s="110">
        <f t="shared" si="12"/>
        <v>28019.9</v>
      </c>
      <c r="Q27" s="110">
        <f t="shared" si="12"/>
        <v>15196.2</v>
      </c>
      <c r="R27" s="110">
        <f t="shared" si="13"/>
        <v>15028.300000000001</v>
      </c>
      <c r="S27" s="110">
        <f t="shared" si="13"/>
        <v>18189.5</v>
      </c>
      <c r="T27" s="110">
        <f t="shared" si="13"/>
        <v>19661.399999999998</v>
      </c>
      <c r="U27" s="110">
        <f t="shared" si="13"/>
        <v>20785.8</v>
      </c>
      <c r="V27" s="6"/>
    </row>
    <row r="28" spans="1:24" ht="13.8" thickBot="1">
      <c r="A28" s="69" t="s">
        <v>319</v>
      </c>
      <c r="B28" s="142">
        <v>20809.3</v>
      </c>
      <c r="C28" s="142">
        <v>20767.599999999999</v>
      </c>
      <c r="D28" s="142">
        <v>20838</v>
      </c>
      <c r="E28" s="142">
        <v>21276</v>
      </c>
      <c r="F28" s="142">
        <v>21948</v>
      </c>
      <c r="G28" s="142">
        <v>22520.3</v>
      </c>
      <c r="H28" s="110"/>
      <c r="I28" s="142">
        <f t="shared" ref="I28:N28" si="14">ROUND(B28*1.154,1)</f>
        <v>24013.9</v>
      </c>
      <c r="J28" s="142">
        <f t="shared" si="14"/>
        <v>23965.8</v>
      </c>
      <c r="K28" s="142">
        <f t="shared" si="14"/>
        <v>24047.1</v>
      </c>
      <c r="L28" s="142">
        <f t="shared" si="14"/>
        <v>24552.5</v>
      </c>
      <c r="M28" s="142">
        <f t="shared" si="14"/>
        <v>25328</v>
      </c>
      <c r="N28" s="142">
        <f t="shared" si="14"/>
        <v>25988.400000000001</v>
      </c>
      <c r="O28" s="110"/>
      <c r="P28" s="142">
        <f t="shared" si="12"/>
        <v>122566.8</v>
      </c>
      <c r="Q28" s="142">
        <f t="shared" si="12"/>
        <v>122321.2</v>
      </c>
      <c r="R28" s="142">
        <f>ROUND(D28*5.89, 1)</f>
        <v>122735.8</v>
      </c>
      <c r="S28" s="142">
        <f>ROUND(E28*5.89,1)</f>
        <v>125315.6</v>
      </c>
      <c r="T28" s="142">
        <f>ROUND(F28*5.89,1)</f>
        <v>129273.7</v>
      </c>
      <c r="U28" s="142">
        <f>ROUND(G28*5.89,1)</f>
        <v>132644.6</v>
      </c>
      <c r="V28" s="22"/>
    </row>
    <row r="29" spans="1:24" ht="13.8" thickTop="1">
      <c r="A29" s="97" t="s">
        <v>1115</v>
      </c>
      <c r="B29" s="28"/>
      <c r="C29" s="28"/>
      <c r="D29" s="28"/>
      <c r="E29" s="28"/>
      <c r="F29" s="28"/>
      <c r="G29" s="28"/>
      <c r="H29" s="49"/>
      <c r="I29" s="28"/>
      <c r="J29" s="28"/>
      <c r="K29" s="28"/>
      <c r="L29" s="28"/>
      <c r="M29" s="28"/>
      <c r="N29" s="28"/>
      <c r="O29" s="49"/>
      <c r="P29" s="28"/>
      <c r="Q29" s="28"/>
      <c r="R29" s="28"/>
      <c r="S29" s="28"/>
      <c r="T29" s="28"/>
      <c r="U29" s="28"/>
    </row>
    <row r="30" spans="1:24">
      <c r="A30" s="97" t="s">
        <v>334</v>
      </c>
      <c r="B30" s="28"/>
      <c r="C30" s="28"/>
      <c r="D30" s="28"/>
      <c r="E30" s="28"/>
      <c r="F30" s="28"/>
      <c r="G30" s="28"/>
      <c r="H30" s="49"/>
      <c r="I30" s="28"/>
      <c r="J30" s="28"/>
      <c r="K30" s="28"/>
      <c r="L30" s="28"/>
      <c r="M30" s="28"/>
      <c r="N30" s="28"/>
      <c r="O30" s="49"/>
      <c r="P30" s="28"/>
      <c r="Q30" s="28"/>
      <c r="R30" s="28"/>
      <c r="S30" s="28"/>
      <c r="T30" s="28"/>
      <c r="U30" s="28"/>
    </row>
    <row r="31" spans="1:24">
      <c r="A31" s="143" t="s">
        <v>333</v>
      </c>
      <c r="B31" s="28"/>
      <c r="C31" s="28"/>
      <c r="D31" s="28"/>
      <c r="E31" s="28"/>
      <c r="F31" s="28"/>
      <c r="G31" s="28"/>
      <c r="H31" s="49"/>
      <c r="I31" s="28"/>
      <c r="J31" s="28"/>
      <c r="K31" s="28"/>
      <c r="L31" s="28"/>
      <c r="M31" s="28"/>
      <c r="N31" s="28"/>
      <c r="O31" s="49"/>
      <c r="P31" s="28"/>
      <c r="Q31" s="28"/>
      <c r="R31" s="28"/>
      <c r="S31" s="28"/>
      <c r="T31" s="28"/>
      <c r="U31" s="28"/>
    </row>
    <row r="32" spans="1:24">
      <c r="A32" s="97"/>
      <c r="B32" s="28"/>
      <c r="C32" s="28"/>
      <c r="D32" s="28"/>
      <c r="E32" s="28"/>
      <c r="F32" s="28"/>
      <c r="G32" s="28"/>
      <c r="H32" s="49"/>
      <c r="I32" s="28"/>
      <c r="J32" s="28"/>
      <c r="K32" s="28"/>
      <c r="L32" s="28"/>
      <c r="M32" s="28"/>
      <c r="N32" s="28"/>
      <c r="O32" s="49"/>
      <c r="P32" s="28"/>
      <c r="Q32" s="28"/>
      <c r="R32" s="28"/>
      <c r="S32" s="28"/>
      <c r="T32" s="28"/>
      <c r="U32" s="28"/>
    </row>
    <row r="33" spans="1:21" ht="16.2" customHeight="1">
      <c r="A33" s="48" t="s">
        <v>335</v>
      </c>
      <c r="B33" s="28"/>
      <c r="C33" s="28"/>
      <c r="D33" s="28"/>
      <c r="E33" s="28"/>
      <c r="F33" s="28"/>
      <c r="G33" s="28"/>
      <c r="H33" s="49"/>
      <c r="I33" s="28"/>
      <c r="J33" s="28"/>
      <c r="K33" s="28"/>
      <c r="L33" s="28"/>
      <c r="M33" s="28"/>
      <c r="N33" s="28"/>
      <c r="O33" s="49"/>
      <c r="P33" s="28"/>
      <c r="Q33" s="28"/>
      <c r="R33" s="28"/>
      <c r="S33" s="28"/>
      <c r="T33" s="28"/>
      <c r="U33" s="28"/>
    </row>
    <row r="34" spans="1:21" ht="12.75" customHeight="1">
      <c r="A34" s="103"/>
      <c r="B34" s="531" t="s">
        <v>300</v>
      </c>
      <c r="C34" s="531"/>
      <c r="D34" s="531"/>
      <c r="E34" s="531"/>
      <c r="F34" s="531"/>
      <c r="G34" s="531"/>
      <c r="H34" s="127"/>
      <c r="I34" s="531" t="s">
        <v>300</v>
      </c>
      <c r="J34" s="531"/>
      <c r="K34" s="531"/>
      <c r="L34" s="531"/>
      <c r="M34" s="531"/>
      <c r="N34" s="531"/>
      <c r="O34" s="127"/>
      <c r="P34" s="531" t="s">
        <v>300</v>
      </c>
      <c r="Q34" s="531"/>
      <c r="R34" s="531"/>
      <c r="S34" s="531"/>
      <c r="T34" s="531"/>
      <c r="U34" s="531"/>
    </row>
    <row r="35" spans="1:21" ht="12.75" customHeight="1">
      <c r="A35" s="103"/>
      <c r="B35" s="30">
        <v>2005</v>
      </c>
      <c r="C35" s="30">
        <v>2006</v>
      </c>
      <c r="D35" s="30">
        <v>2007</v>
      </c>
      <c r="E35" s="30">
        <v>2008</v>
      </c>
      <c r="F35" s="30">
        <v>2009</v>
      </c>
      <c r="G35" s="30">
        <v>2010</v>
      </c>
      <c r="H35" s="129"/>
      <c r="I35" s="30">
        <v>2005</v>
      </c>
      <c r="J35" s="30">
        <v>2006</v>
      </c>
      <c r="K35" s="30">
        <v>2007</v>
      </c>
      <c r="L35" s="30">
        <v>2008</v>
      </c>
      <c r="M35" s="30">
        <v>2009</v>
      </c>
      <c r="N35" s="30">
        <v>2010</v>
      </c>
      <c r="O35" s="129"/>
      <c r="P35" s="30">
        <v>2005</v>
      </c>
      <c r="Q35" s="30">
        <v>2006</v>
      </c>
      <c r="R35" s="30">
        <v>2007</v>
      </c>
      <c r="S35" s="30">
        <v>2008</v>
      </c>
      <c r="T35" s="30">
        <v>2009</v>
      </c>
      <c r="U35" s="30">
        <v>2010</v>
      </c>
    </row>
    <row r="36" spans="1:21" ht="12.75" customHeight="1">
      <c r="A36" s="76"/>
      <c r="B36" s="531" t="s">
        <v>336</v>
      </c>
      <c r="C36" s="531"/>
      <c r="D36" s="531"/>
      <c r="E36" s="531"/>
      <c r="F36" s="531"/>
      <c r="G36" s="531"/>
      <c r="H36" s="130"/>
      <c r="I36" s="531" t="s">
        <v>322</v>
      </c>
      <c r="J36" s="531"/>
      <c r="K36" s="531"/>
      <c r="L36" s="531"/>
      <c r="M36" s="531"/>
      <c r="N36" s="531"/>
      <c r="O36" s="130"/>
      <c r="P36" s="531" t="s">
        <v>323</v>
      </c>
      <c r="Q36" s="531"/>
      <c r="R36" s="531"/>
      <c r="S36" s="531"/>
      <c r="T36" s="531"/>
      <c r="U36" s="531"/>
    </row>
    <row r="37" spans="1:21" ht="19.5" customHeight="1">
      <c r="A37" s="544" t="s">
        <v>338</v>
      </c>
      <c r="B37" s="543"/>
      <c r="C37" s="543"/>
      <c r="D37" s="543"/>
      <c r="E37" s="543"/>
      <c r="F37" s="543"/>
      <c r="G37" s="119"/>
      <c r="H37" s="131"/>
      <c r="I37" s="119"/>
      <c r="J37" s="119"/>
      <c r="K37" s="119"/>
      <c r="L37" s="119"/>
      <c r="M37" s="119"/>
      <c r="N37" s="119"/>
      <c r="O37" s="131"/>
      <c r="P37" s="119"/>
      <c r="Q37" s="119"/>
      <c r="R37" s="119"/>
      <c r="S37" s="119"/>
      <c r="T37" s="119"/>
      <c r="U37" s="119"/>
    </row>
    <row r="38" spans="1:21">
      <c r="A38" s="544"/>
      <c r="B38" s="543"/>
      <c r="C38" s="543"/>
      <c r="D38" s="543"/>
      <c r="E38" s="543"/>
      <c r="F38" s="543"/>
      <c r="G38" s="119"/>
      <c r="H38" s="131"/>
      <c r="I38" s="119"/>
      <c r="J38" s="119"/>
      <c r="K38" s="119"/>
      <c r="L38" s="119"/>
      <c r="M38" s="119"/>
      <c r="N38" s="119"/>
      <c r="O38" s="131"/>
      <c r="P38" s="119"/>
      <c r="Q38" s="119"/>
      <c r="R38" s="119"/>
      <c r="S38" s="119"/>
      <c r="T38" s="119"/>
      <c r="U38" s="119"/>
    </row>
    <row r="39" spans="1:21">
      <c r="A39" s="52" t="s">
        <v>317</v>
      </c>
      <c r="B39" s="116">
        <v>507.9</v>
      </c>
      <c r="C39" s="116">
        <v>528.9</v>
      </c>
      <c r="D39" s="116">
        <v>568.9</v>
      </c>
      <c r="E39" s="116">
        <v>587.9</v>
      </c>
      <c r="F39" s="116">
        <v>586</v>
      </c>
      <c r="G39" s="116">
        <v>572.1</v>
      </c>
      <c r="H39" s="131"/>
      <c r="I39" s="116">
        <f t="shared" ref="I39:O39" si="15">ROUND(B39*1.43,1)</f>
        <v>726.3</v>
      </c>
      <c r="J39" s="116">
        <f t="shared" si="15"/>
        <v>756.3</v>
      </c>
      <c r="K39" s="116">
        <f t="shared" si="15"/>
        <v>813.5</v>
      </c>
      <c r="L39" s="116">
        <f t="shared" si="15"/>
        <v>840.7</v>
      </c>
      <c r="M39" s="116">
        <f t="shared" si="15"/>
        <v>838</v>
      </c>
      <c r="N39" s="116">
        <f t="shared" si="15"/>
        <v>818.1</v>
      </c>
      <c r="O39" s="116">
        <f t="shared" si="15"/>
        <v>0</v>
      </c>
      <c r="P39" s="116">
        <f t="shared" ref="P39:U39" si="16">ROUND(B39*8.18,1)</f>
        <v>4154.6000000000004</v>
      </c>
      <c r="Q39" s="116">
        <f t="shared" si="16"/>
        <v>4326.3999999999996</v>
      </c>
      <c r="R39" s="116">
        <f t="shared" si="16"/>
        <v>4653.6000000000004</v>
      </c>
      <c r="S39" s="116">
        <f t="shared" si="16"/>
        <v>4809</v>
      </c>
      <c r="T39" s="116">
        <f t="shared" si="16"/>
        <v>4793.5</v>
      </c>
      <c r="U39" s="116">
        <f t="shared" si="16"/>
        <v>4679.8</v>
      </c>
    </row>
    <row r="40" spans="1:21">
      <c r="A40" s="52" t="s">
        <v>318</v>
      </c>
      <c r="B40" s="116">
        <v>184.7</v>
      </c>
      <c r="C40" s="116">
        <v>130.1</v>
      </c>
      <c r="D40" s="116">
        <v>117.2</v>
      </c>
      <c r="E40" s="116">
        <v>141.9</v>
      </c>
      <c r="F40" s="116">
        <v>141.19999999999999</v>
      </c>
      <c r="G40" s="116">
        <v>147.19999999999999</v>
      </c>
      <c r="H40" s="131"/>
      <c r="I40" s="116">
        <f t="shared" ref="I40:I45" si="17">ROUND(B40*1.43,1)</f>
        <v>264.10000000000002</v>
      </c>
      <c r="J40" s="107">
        <f>IF(ROUND(C40*1.43,1)&lt;&gt;J41-J39,J41-J39,ROUND(C40*1.43,1))</f>
        <v>186.10000000000002</v>
      </c>
      <c r="K40" s="116">
        <f t="shared" ref="K40:K45" si="18">ROUND(D40*1.43,1)</f>
        <v>167.6</v>
      </c>
      <c r="L40" s="116">
        <f t="shared" ref="L40:L45" si="19">ROUND(E40*1.43,1)</f>
        <v>202.9</v>
      </c>
      <c r="M40" s="116">
        <f>ROUND(F40*1.43,1)</f>
        <v>201.9</v>
      </c>
      <c r="N40" s="116">
        <f>ROUND(G40*1.43,1)</f>
        <v>210.5</v>
      </c>
      <c r="O40" s="116">
        <f t="shared" ref="O40:O45" si="20">ROUND(H40*1.43,1)</f>
        <v>0</v>
      </c>
      <c r="P40" s="107">
        <f>IF(ROUND(B40*8.18,1)&lt;&gt;P41-P39,P41-P39,ROUND(B40*8.18,1))</f>
        <v>1510.8999999999996</v>
      </c>
      <c r="Q40" s="107">
        <f>ROUND(C40*8.18,1)</f>
        <v>1064.2</v>
      </c>
      <c r="R40" s="116">
        <f>ROUND(D40*8.18,1)</f>
        <v>958.7</v>
      </c>
      <c r="S40" s="107">
        <f>IF(ROUND(E40*8.18,1)&lt;&gt;S41-S39,S41-S39,ROUND(E40*8.18,1))</f>
        <v>1160.8000000000002</v>
      </c>
      <c r="T40" s="116">
        <f>ROUND(F40*8.18,1)</f>
        <v>1155</v>
      </c>
      <c r="U40" s="116">
        <f>ROUND(G40*8.18,1)</f>
        <v>1204.0999999999999</v>
      </c>
    </row>
    <row r="41" spans="1:21" ht="13.8" thickBot="1">
      <c r="A41" s="63" t="s">
        <v>319</v>
      </c>
      <c r="B41" s="132">
        <v>692.6</v>
      </c>
      <c r="C41" s="132">
        <v>659</v>
      </c>
      <c r="D41" s="132">
        <v>686.1</v>
      </c>
      <c r="E41" s="132">
        <v>729.8</v>
      </c>
      <c r="F41" s="132">
        <v>727.2</v>
      </c>
      <c r="G41" s="132">
        <f>G39+G40</f>
        <v>719.3</v>
      </c>
      <c r="H41" s="110"/>
      <c r="I41" s="132">
        <f t="shared" si="17"/>
        <v>990.4</v>
      </c>
      <c r="J41" s="132">
        <f>ROUND(C41*1.43,1)</f>
        <v>942.4</v>
      </c>
      <c r="K41" s="132">
        <f t="shared" si="18"/>
        <v>981.1</v>
      </c>
      <c r="L41" s="132">
        <f t="shared" si="19"/>
        <v>1043.5999999999999</v>
      </c>
      <c r="M41" s="132">
        <f>ROUND(F41*1.43,1)</f>
        <v>1039.9000000000001</v>
      </c>
      <c r="N41" s="132">
        <f>ROUND(G41*1.43,1)</f>
        <v>1028.5999999999999</v>
      </c>
      <c r="O41" s="116">
        <f t="shared" si="20"/>
        <v>0</v>
      </c>
      <c r="P41" s="132">
        <f>ROUND(B41*8.18,1)</f>
        <v>5665.5</v>
      </c>
      <c r="Q41" s="132">
        <f>ROUND(C41*8.18,1)</f>
        <v>5390.6</v>
      </c>
      <c r="R41" s="132">
        <f>ROUND(D41*8.18,1)</f>
        <v>5612.3</v>
      </c>
      <c r="S41" s="132">
        <f>ROUND(E41*8.18,1)</f>
        <v>5969.8</v>
      </c>
      <c r="T41" s="132">
        <f>ROUND(F41*8.18,1)</f>
        <v>5948.5</v>
      </c>
      <c r="U41" s="132">
        <f>ROUND(G41*8.18,1)</f>
        <v>5883.9</v>
      </c>
    </row>
    <row r="42" spans="1:21">
      <c r="A42" s="31" t="s">
        <v>282</v>
      </c>
      <c r="B42" s="110"/>
      <c r="C42" s="110"/>
      <c r="D42" s="110"/>
      <c r="E42" s="110"/>
      <c r="F42" s="110"/>
      <c r="G42" s="110"/>
      <c r="H42" s="110"/>
      <c r="I42" s="110"/>
      <c r="J42" s="110"/>
      <c r="K42" s="110"/>
      <c r="L42" s="110"/>
      <c r="M42" s="110"/>
      <c r="N42" s="110"/>
      <c r="O42" s="116"/>
      <c r="P42" s="110"/>
      <c r="Q42" s="110"/>
      <c r="R42" s="110"/>
      <c r="S42" s="110"/>
      <c r="T42" s="110"/>
      <c r="U42" s="110"/>
    </row>
    <row r="43" spans="1:21">
      <c r="A43" s="52" t="s">
        <v>317</v>
      </c>
      <c r="B43" s="107">
        <v>507.9</v>
      </c>
      <c r="C43" s="107">
        <v>528.9</v>
      </c>
      <c r="D43" s="107">
        <v>568.9</v>
      </c>
      <c r="E43" s="107">
        <v>587.9</v>
      </c>
      <c r="F43" s="107">
        <v>586</v>
      </c>
      <c r="G43" s="107">
        <f>G39</f>
        <v>572.1</v>
      </c>
      <c r="H43" s="110"/>
      <c r="I43" s="110">
        <f>I39</f>
        <v>726.3</v>
      </c>
      <c r="J43" s="110">
        <f>J39</f>
        <v>756.3</v>
      </c>
      <c r="K43" s="110">
        <f t="shared" ref="K43:M44" si="21">K39</f>
        <v>813.5</v>
      </c>
      <c r="L43" s="110">
        <f t="shared" si="21"/>
        <v>840.7</v>
      </c>
      <c r="M43" s="110">
        <f t="shared" si="21"/>
        <v>838</v>
      </c>
      <c r="N43" s="110">
        <f>N39</f>
        <v>818.1</v>
      </c>
      <c r="O43" s="116">
        <f t="shared" si="20"/>
        <v>0</v>
      </c>
      <c r="P43" s="110">
        <f t="shared" ref="P43:U44" si="22">P39</f>
        <v>4154.6000000000004</v>
      </c>
      <c r="Q43" s="110">
        <f t="shared" si="22"/>
        <v>4326.3999999999996</v>
      </c>
      <c r="R43" s="110">
        <f t="shared" si="22"/>
        <v>4653.6000000000004</v>
      </c>
      <c r="S43" s="110">
        <f t="shared" si="22"/>
        <v>4809</v>
      </c>
      <c r="T43" s="110">
        <f t="shared" si="22"/>
        <v>4793.5</v>
      </c>
      <c r="U43" s="110">
        <f t="shared" si="22"/>
        <v>4679.8</v>
      </c>
    </row>
    <row r="44" spans="1:21">
      <c r="A44" s="52" t="s">
        <v>318</v>
      </c>
      <c r="B44" s="107">
        <v>184.7</v>
      </c>
      <c r="C44" s="107">
        <v>130.1</v>
      </c>
      <c r="D44" s="107">
        <v>117.2</v>
      </c>
      <c r="E44" s="107">
        <v>141.9</v>
      </c>
      <c r="F44" s="107">
        <v>141.19999999999999</v>
      </c>
      <c r="G44" s="107">
        <f>G40</f>
        <v>147.19999999999999</v>
      </c>
      <c r="H44" s="131"/>
      <c r="I44" s="110">
        <f>I40</f>
        <v>264.10000000000002</v>
      </c>
      <c r="J44" s="110">
        <f>J40</f>
        <v>186.10000000000002</v>
      </c>
      <c r="K44" s="110">
        <f t="shared" si="21"/>
        <v>167.6</v>
      </c>
      <c r="L44" s="110">
        <f t="shared" si="21"/>
        <v>202.9</v>
      </c>
      <c r="M44" s="110">
        <f t="shared" si="21"/>
        <v>201.9</v>
      </c>
      <c r="N44" s="110">
        <f>N40</f>
        <v>210.5</v>
      </c>
      <c r="O44" s="116">
        <f t="shared" si="20"/>
        <v>0</v>
      </c>
      <c r="P44" s="110">
        <f t="shared" si="22"/>
        <v>1510.8999999999996</v>
      </c>
      <c r="Q44" s="110">
        <f t="shared" si="22"/>
        <v>1064.2</v>
      </c>
      <c r="R44" s="110">
        <f t="shared" si="22"/>
        <v>958.7</v>
      </c>
      <c r="S44" s="110">
        <f t="shared" si="22"/>
        <v>1160.8000000000002</v>
      </c>
      <c r="T44" s="110">
        <f t="shared" si="22"/>
        <v>1155</v>
      </c>
      <c r="U44" s="110">
        <f t="shared" si="22"/>
        <v>1204.0999999999999</v>
      </c>
    </row>
    <row r="45" spans="1:21" ht="13.8" thickBot="1">
      <c r="A45" s="69" t="s">
        <v>319</v>
      </c>
      <c r="B45" s="142">
        <v>692.6</v>
      </c>
      <c r="C45" s="142">
        <v>659</v>
      </c>
      <c r="D45" s="142">
        <v>686.1</v>
      </c>
      <c r="E45" s="142">
        <v>729.8</v>
      </c>
      <c r="F45" s="142">
        <v>727.2</v>
      </c>
      <c r="G45" s="142">
        <f>G43+G44</f>
        <v>719.3</v>
      </c>
      <c r="H45" s="131"/>
      <c r="I45" s="142">
        <f t="shared" si="17"/>
        <v>990.4</v>
      </c>
      <c r="J45" s="142">
        <f>ROUND(C45*1.43,1)</f>
        <v>942.4</v>
      </c>
      <c r="K45" s="142">
        <f t="shared" si="18"/>
        <v>981.1</v>
      </c>
      <c r="L45" s="142">
        <f t="shared" si="19"/>
        <v>1043.5999999999999</v>
      </c>
      <c r="M45" s="142">
        <f>ROUND(F45*1.43,1)</f>
        <v>1039.9000000000001</v>
      </c>
      <c r="N45" s="142">
        <f>ROUND(G45*1.43,1)</f>
        <v>1028.5999999999999</v>
      </c>
      <c r="O45" s="116">
        <f t="shared" si="20"/>
        <v>0</v>
      </c>
      <c r="P45" s="142">
        <f t="shared" ref="P45:U45" si="23">ROUND(B45*8.18,1)</f>
        <v>5665.5</v>
      </c>
      <c r="Q45" s="142">
        <f t="shared" si="23"/>
        <v>5390.6</v>
      </c>
      <c r="R45" s="142">
        <f t="shared" si="23"/>
        <v>5612.3</v>
      </c>
      <c r="S45" s="142">
        <f t="shared" si="23"/>
        <v>5969.8</v>
      </c>
      <c r="T45" s="142">
        <f t="shared" si="23"/>
        <v>5948.5</v>
      </c>
      <c r="U45" s="142">
        <f t="shared" si="23"/>
        <v>5883.9</v>
      </c>
    </row>
    <row r="46" spans="1:21" ht="13.8" thickTop="1">
      <c r="A46" s="143" t="s">
        <v>332</v>
      </c>
      <c r="B46" s="28"/>
      <c r="C46" s="28"/>
      <c r="D46" s="28"/>
      <c r="E46" s="28"/>
      <c r="F46" s="28"/>
      <c r="G46" s="28"/>
      <c r="H46" s="49"/>
      <c r="I46" s="28"/>
      <c r="J46" s="28"/>
      <c r="K46" s="28"/>
      <c r="L46" s="28"/>
      <c r="M46" s="28"/>
      <c r="N46" s="28"/>
      <c r="O46" s="49"/>
      <c r="P46" s="28"/>
      <c r="Q46" s="28"/>
      <c r="R46" s="28"/>
      <c r="S46" s="28"/>
      <c r="T46" s="28"/>
      <c r="U46" s="28"/>
    </row>
    <row r="47" spans="1:21">
      <c r="A47" s="49"/>
      <c r="B47" s="49"/>
      <c r="C47" s="49"/>
      <c r="D47" s="49"/>
      <c r="E47" s="49"/>
      <c r="F47" s="49"/>
      <c r="G47" s="49"/>
      <c r="H47" s="49"/>
      <c r="I47" s="49"/>
      <c r="J47" s="49"/>
      <c r="K47" s="49"/>
      <c r="L47" s="49"/>
      <c r="M47" s="49"/>
      <c r="N47" s="49"/>
      <c r="O47" s="49"/>
      <c r="P47" s="49"/>
      <c r="Q47" s="49"/>
      <c r="R47" s="49"/>
      <c r="S47" s="49"/>
      <c r="T47" s="49"/>
      <c r="U47" s="49"/>
    </row>
    <row r="48" spans="1:21" ht="15.6">
      <c r="A48" s="48" t="s">
        <v>337</v>
      </c>
      <c r="B48" s="28"/>
      <c r="C48" s="28"/>
      <c r="D48" s="28"/>
      <c r="E48" s="28"/>
      <c r="F48" s="28"/>
      <c r="G48" s="28"/>
      <c r="H48" s="49"/>
      <c r="I48" s="28"/>
      <c r="J48" s="28"/>
      <c r="K48" s="28"/>
      <c r="L48" s="28"/>
      <c r="M48" s="28"/>
      <c r="N48" s="28"/>
      <c r="O48" s="49"/>
      <c r="P48" s="28"/>
      <c r="Q48" s="28"/>
      <c r="R48" s="28"/>
      <c r="S48" s="28"/>
      <c r="T48" s="28"/>
      <c r="U48" s="28"/>
    </row>
    <row r="49" spans="1:21" ht="12.75" customHeight="1">
      <c r="A49" s="103"/>
      <c r="B49" s="145" t="s">
        <v>300</v>
      </c>
      <c r="C49" s="531" t="s">
        <v>300</v>
      </c>
      <c r="D49" s="531"/>
      <c r="E49" s="531"/>
      <c r="F49" s="531"/>
      <c r="G49" s="531"/>
      <c r="H49" s="127"/>
      <c r="I49" s="531" t="s">
        <v>300</v>
      </c>
      <c r="J49" s="531"/>
      <c r="K49" s="531"/>
      <c r="L49" s="531"/>
      <c r="M49" s="531"/>
      <c r="N49" s="531"/>
      <c r="O49" s="127"/>
      <c r="P49" s="531" t="s">
        <v>300</v>
      </c>
      <c r="Q49" s="531"/>
      <c r="R49" s="531"/>
      <c r="S49" s="531"/>
      <c r="T49" s="531"/>
      <c r="U49" s="531"/>
    </row>
    <row r="50" spans="1:21">
      <c r="A50" s="103"/>
      <c r="B50" s="30">
        <v>2005</v>
      </c>
      <c r="C50" s="30">
        <v>2006</v>
      </c>
      <c r="D50" s="30">
        <v>2007</v>
      </c>
      <c r="E50" s="30">
        <v>2008</v>
      </c>
      <c r="F50" s="30">
        <v>2009</v>
      </c>
      <c r="G50" s="30">
        <v>2010</v>
      </c>
      <c r="H50" s="129"/>
      <c r="I50" s="30">
        <v>2005</v>
      </c>
      <c r="J50" s="30">
        <v>2006</v>
      </c>
      <c r="K50" s="30">
        <v>2007</v>
      </c>
      <c r="L50" s="30">
        <v>2008</v>
      </c>
      <c r="M50" s="30">
        <v>2009</v>
      </c>
      <c r="N50" s="30">
        <v>2010</v>
      </c>
      <c r="O50" s="129"/>
      <c r="P50" s="30">
        <v>2005</v>
      </c>
      <c r="Q50" s="30">
        <v>2006</v>
      </c>
      <c r="R50" s="30">
        <v>2007</v>
      </c>
      <c r="S50" s="30">
        <v>2008</v>
      </c>
      <c r="T50" s="30">
        <v>2009</v>
      </c>
      <c r="U50" s="30">
        <v>2010</v>
      </c>
    </row>
    <row r="51" spans="1:21" ht="12.75" customHeight="1">
      <c r="A51" s="76"/>
      <c r="B51" s="531" t="s">
        <v>336</v>
      </c>
      <c r="C51" s="531"/>
      <c r="D51" s="531"/>
      <c r="E51" s="531"/>
      <c r="F51" s="531"/>
      <c r="G51" s="531"/>
      <c r="H51" s="130"/>
      <c r="I51" s="531" t="s">
        <v>322</v>
      </c>
      <c r="J51" s="531"/>
      <c r="K51" s="531"/>
      <c r="L51" s="531"/>
      <c r="M51" s="531"/>
      <c r="N51" s="531"/>
      <c r="O51" s="130"/>
      <c r="P51" s="531" t="s">
        <v>323</v>
      </c>
      <c r="Q51" s="531"/>
      <c r="R51" s="531"/>
      <c r="S51" s="531"/>
      <c r="T51" s="531"/>
      <c r="U51" s="531"/>
    </row>
    <row r="52" spans="1:21" ht="19.5" customHeight="1">
      <c r="A52" s="544" t="s">
        <v>338</v>
      </c>
      <c r="B52" s="543"/>
      <c r="C52" s="543"/>
      <c r="D52" s="543"/>
      <c r="E52" s="543"/>
      <c r="F52" s="543"/>
      <c r="G52" s="119"/>
      <c r="H52" s="131"/>
      <c r="I52" s="119"/>
      <c r="J52" s="119"/>
      <c r="K52" s="119"/>
      <c r="L52" s="119"/>
      <c r="M52" s="119"/>
      <c r="N52" s="119"/>
      <c r="O52" s="131"/>
      <c r="P52" s="119"/>
      <c r="Q52" s="119"/>
      <c r="R52" s="119"/>
      <c r="S52" s="119"/>
      <c r="T52" s="119"/>
      <c r="U52" s="119"/>
    </row>
    <row r="53" spans="1:21">
      <c r="A53" s="544"/>
      <c r="B53" s="545"/>
      <c r="C53" s="545"/>
      <c r="D53" s="545"/>
      <c r="E53" s="545"/>
      <c r="F53" s="545"/>
      <c r="G53" s="146"/>
      <c r="H53" s="131"/>
      <c r="I53" s="119"/>
      <c r="J53" s="119"/>
      <c r="K53" s="119"/>
      <c r="L53" s="119"/>
      <c r="M53" s="119"/>
      <c r="N53" s="119"/>
      <c r="O53" s="131"/>
      <c r="P53" s="119"/>
      <c r="Q53" s="119"/>
      <c r="R53" s="119"/>
      <c r="S53" s="119"/>
      <c r="T53" s="119"/>
      <c r="U53" s="119"/>
    </row>
    <row r="54" spans="1:21">
      <c r="A54" s="52" t="s">
        <v>317</v>
      </c>
      <c r="B54" s="107">
        <v>67.3</v>
      </c>
      <c r="C54" s="107">
        <v>87.1</v>
      </c>
      <c r="D54" s="107">
        <v>76.900000000000006</v>
      </c>
      <c r="E54" s="107">
        <v>97.6</v>
      </c>
      <c r="F54" s="107">
        <v>93</v>
      </c>
      <c r="G54" s="107">
        <v>82.9</v>
      </c>
      <c r="H54" s="109"/>
      <c r="I54" s="116">
        <f>ROUND(B54*1.43,1)</f>
        <v>96.2</v>
      </c>
      <c r="J54" s="116">
        <f>ROUND(C54*1.43,1)</f>
        <v>124.6</v>
      </c>
      <c r="K54" s="116">
        <f>ROUND(D54*1.43,1)</f>
        <v>110</v>
      </c>
      <c r="L54" s="116">
        <f>ROUND(E54*1.43,1)</f>
        <v>139.6</v>
      </c>
      <c r="M54" s="116">
        <f>ROUND(F54*1.43,1)</f>
        <v>133</v>
      </c>
      <c r="N54" s="116">
        <f>ROUNDUP(G54*1.43,1)</f>
        <v>118.6</v>
      </c>
      <c r="O54" s="109"/>
      <c r="P54" s="116">
        <f t="shared" ref="P54:U56" si="24">ROUND(B54*7.33,1)</f>
        <v>493.3</v>
      </c>
      <c r="Q54" s="116">
        <f t="shared" si="24"/>
        <v>638.4</v>
      </c>
      <c r="R54" s="116">
        <f t="shared" si="24"/>
        <v>563.70000000000005</v>
      </c>
      <c r="S54" s="116">
        <f t="shared" si="24"/>
        <v>715.4</v>
      </c>
      <c r="T54" s="116">
        <f t="shared" si="24"/>
        <v>681.7</v>
      </c>
      <c r="U54" s="116">
        <f t="shared" si="24"/>
        <v>607.70000000000005</v>
      </c>
    </row>
    <row r="55" spans="1:21">
      <c r="A55" s="52" t="s">
        <v>318</v>
      </c>
      <c r="B55" s="107">
        <v>232.2</v>
      </c>
      <c r="C55" s="107">
        <v>203.8</v>
      </c>
      <c r="D55" s="107">
        <v>210</v>
      </c>
      <c r="E55" s="107">
        <v>185.7</v>
      </c>
      <c r="F55" s="107">
        <v>159.80000000000001</v>
      </c>
      <c r="G55" s="107">
        <v>179.1</v>
      </c>
      <c r="H55" s="109"/>
      <c r="I55" s="107">
        <f>IF(ROUND(B55*1.43,1)&lt;&gt;I56-I54,I56-I54,ROUND(B55*1.43,1))</f>
        <v>332.1</v>
      </c>
      <c r="J55" s="116">
        <f>ROUND(C55*1.43,1)</f>
        <v>291.39999999999998</v>
      </c>
      <c r="K55" s="116">
        <f>ROUND(D55*1.43,1)</f>
        <v>300.3</v>
      </c>
      <c r="L55" s="107">
        <f>IF(ROUND(E55*1.43,1)&lt;&gt;L56-L54,L56-L54,ROUND(E55*1.43,1))</f>
        <v>265.5</v>
      </c>
      <c r="M55" s="116">
        <f>ROUND(F55*1.43,1)</f>
        <v>228.5</v>
      </c>
      <c r="N55" s="116">
        <f>ROUND(G55*1.43,1)</f>
        <v>256.10000000000002</v>
      </c>
      <c r="O55" s="109"/>
      <c r="P55" s="116">
        <f t="shared" si="24"/>
        <v>1702</v>
      </c>
      <c r="Q55" s="116">
        <f t="shared" si="24"/>
        <v>1493.9</v>
      </c>
      <c r="R55" s="116">
        <f t="shared" si="24"/>
        <v>1539.3</v>
      </c>
      <c r="S55" s="116">
        <f t="shared" si="24"/>
        <v>1361.2</v>
      </c>
      <c r="T55" s="116">
        <f t="shared" si="24"/>
        <v>1171.3</v>
      </c>
      <c r="U55" s="116">
        <f t="shared" si="24"/>
        <v>1312.8</v>
      </c>
    </row>
    <row r="56" spans="1:21" ht="13.8" thickBot="1">
      <c r="A56" s="63" t="s">
        <v>319</v>
      </c>
      <c r="B56" s="132">
        <v>299.5</v>
      </c>
      <c r="C56" s="132">
        <v>290.89999999999998</v>
      </c>
      <c r="D56" s="132">
        <v>286.89999999999998</v>
      </c>
      <c r="E56" s="132">
        <v>283.3</v>
      </c>
      <c r="F56" s="132">
        <v>252.8</v>
      </c>
      <c r="G56" s="132">
        <f>G54+G55</f>
        <v>262</v>
      </c>
      <c r="H56" s="110"/>
      <c r="I56" s="132">
        <f>ROUND(B56*1.43,1)</f>
        <v>428.3</v>
      </c>
      <c r="J56" s="132">
        <f>ROUND(C56*1.43,1)</f>
        <v>416</v>
      </c>
      <c r="K56" s="132">
        <f>ROUND(D56*1.43,1)</f>
        <v>410.3</v>
      </c>
      <c r="L56" s="132">
        <f>ROUND(E56*1.43,1)</f>
        <v>405.1</v>
      </c>
      <c r="M56" s="132">
        <f>ROUND(F56*1.43,1)</f>
        <v>361.5</v>
      </c>
      <c r="N56" s="132">
        <f>ROUND(G56*1.43,1)</f>
        <v>374.7</v>
      </c>
      <c r="O56" s="110"/>
      <c r="P56" s="132">
        <f t="shared" si="24"/>
        <v>2195.3000000000002</v>
      </c>
      <c r="Q56" s="132">
        <f t="shared" si="24"/>
        <v>2132.3000000000002</v>
      </c>
      <c r="R56" s="132">
        <f t="shared" si="24"/>
        <v>2103</v>
      </c>
      <c r="S56" s="132">
        <f t="shared" si="24"/>
        <v>2076.6</v>
      </c>
      <c r="T56" s="132">
        <f t="shared" si="24"/>
        <v>1853</v>
      </c>
      <c r="U56" s="132">
        <f t="shared" si="24"/>
        <v>1920.5</v>
      </c>
    </row>
    <row r="57" spans="1:21" ht="13.5" customHeight="1">
      <c r="A57" s="540" t="s">
        <v>339</v>
      </c>
      <c r="B57" s="542" t="s">
        <v>329</v>
      </c>
      <c r="C57" s="542"/>
      <c r="D57" s="542"/>
      <c r="E57" s="542"/>
      <c r="F57" s="542"/>
      <c r="G57" s="542"/>
      <c r="H57" s="131"/>
      <c r="I57" s="110"/>
      <c r="J57" s="110"/>
      <c r="K57" s="110"/>
      <c r="L57" s="110"/>
      <c r="M57" s="110"/>
      <c r="N57" s="110"/>
      <c r="O57" s="110"/>
      <c r="P57" s="110"/>
      <c r="Q57" s="110"/>
      <c r="R57" s="110"/>
      <c r="S57" s="110"/>
      <c r="T57" s="110"/>
      <c r="U57" s="110"/>
    </row>
    <row r="58" spans="1:21" ht="13.8" thickBot="1">
      <c r="A58" s="541"/>
      <c r="B58" s="147">
        <v>0.75680000000000003</v>
      </c>
      <c r="C58" s="147">
        <v>0.75680000000000003</v>
      </c>
      <c r="D58" s="147">
        <v>0.75680000000000003</v>
      </c>
      <c r="E58" s="147">
        <v>0.75680000000000003</v>
      </c>
      <c r="F58" s="147">
        <v>0.95679999999999998</v>
      </c>
      <c r="G58" s="147">
        <v>0.95679999999999998</v>
      </c>
      <c r="H58" s="109"/>
      <c r="I58" s="108"/>
      <c r="J58" s="108"/>
      <c r="K58" s="108"/>
      <c r="L58" s="108"/>
      <c r="M58" s="108"/>
      <c r="N58" s="108"/>
      <c r="O58" s="109"/>
      <c r="P58" s="108"/>
      <c r="Q58" s="108"/>
      <c r="R58" s="108"/>
      <c r="S58" s="108"/>
      <c r="T58" s="108"/>
      <c r="U58" s="108"/>
    </row>
    <row r="59" spans="1:21">
      <c r="A59" s="52" t="s">
        <v>317</v>
      </c>
      <c r="B59" s="107">
        <v>461.5</v>
      </c>
      <c r="C59" s="107">
        <v>601.79999999999995</v>
      </c>
      <c r="D59" s="107">
        <v>650.1</v>
      </c>
      <c r="E59" s="107">
        <v>615.6</v>
      </c>
      <c r="F59" s="107">
        <v>625.5</v>
      </c>
      <c r="G59" s="107">
        <v>634.5</v>
      </c>
      <c r="H59" s="109"/>
      <c r="I59" s="116">
        <f t="shared" ref="I59:N59" si="25">ROUND(B59*1.43,1)</f>
        <v>659.9</v>
      </c>
      <c r="J59" s="116">
        <f>ROUNDDOWN(C59*1.43,1)</f>
        <v>860.5</v>
      </c>
      <c r="K59" s="116">
        <f t="shared" si="25"/>
        <v>929.6</v>
      </c>
      <c r="L59" s="116">
        <f t="shared" si="25"/>
        <v>880.3</v>
      </c>
      <c r="M59" s="116">
        <f>ROUNDDOWN(F59*1.43,1)</f>
        <v>894.4</v>
      </c>
      <c r="N59" s="116">
        <f t="shared" si="25"/>
        <v>907.3</v>
      </c>
      <c r="O59" s="109"/>
      <c r="P59" s="116">
        <f t="shared" ref="P59:U59" si="26">ROUND(B59*7.33,1)</f>
        <v>3382.8</v>
      </c>
      <c r="Q59" s="116">
        <f t="shared" si="26"/>
        <v>4411.2</v>
      </c>
      <c r="R59" s="116">
        <f t="shared" si="26"/>
        <v>4765.2</v>
      </c>
      <c r="S59" s="116">
        <f t="shared" si="26"/>
        <v>4512.3</v>
      </c>
      <c r="T59" s="116">
        <f t="shared" si="26"/>
        <v>4584.8999999999996</v>
      </c>
      <c r="U59" s="116">
        <f t="shared" si="26"/>
        <v>4650.8999999999996</v>
      </c>
    </row>
    <row r="60" spans="1:21">
      <c r="A60" s="52" t="s">
        <v>318</v>
      </c>
      <c r="B60" s="107">
        <v>470.7</v>
      </c>
      <c r="C60" s="107">
        <v>173.8</v>
      </c>
      <c r="D60" s="107">
        <v>195.5</v>
      </c>
      <c r="E60" s="107">
        <v>379.3</v>
      </c>
      <c r="F60" s="107">
        <v>275.7</v>
      </c>
      <c r="G60" s="107">
        <v>285.39999999999998</v>
      </c>
      <c r="H60" s="109"/>
      <c r="I60" s="116">
        <f t="shared" ref="I60:L61" si="27">ROUND(B60*1.43,1)</f>
        <v>673.1</v>
      </c>
      <c r="J60" s="116">
        <f>ROUNDUP(C60*1.43,1)</f>
        <v>248.6</v>
      </c>
      <c r="K60" s="116">
        <f t="shared" si="27"/>
        <v>279.60000000000002</v>
      </c>
      <c r="L60" s="116">
        <f t="shared" si="27"/>
        <v>542.4</v>
      </c>
      <c r="M60" s="116">
        <f>ROUND(F60*1.43,1)</f>
        <v>394.3</v>
      </c>
      <c r="N60" s="116">
        <f>ROUND(G60*1.43,1)</f>
        <v>408.1</v>
      </c>
      <c r="O60" s="109"/>
      <c r="P60" s="116">
        <f>IF(ROUND(B60*7.33,1)&lt;&gt;P61-P59,P61-P59,ROUND(B60*7.33,1))</f>
        <v>3450.2999999999993</v>
      </c>
      <c r="Q60" s="116">
        <f>IF(ROUND(C60*7.33,1)&lt;&gt;Q61-Q59,Q61-Q59,ROUND(C60*7.33,1))</f>
        <v>1273.9000000000005</v>
      </c>
      <c r="R60" s="116">
        <f>ROUND(D60*7.33,1)</f>
        <v>1433</v>
      </c>
      <c r="S60" s="116">
        <f>ROUND(E60*7.33,1)</f>
        <v>2780.3</v>
      </c>
      <c r="T60" s="116">
        <f>ROUND(F60*7.33,1)</f>
        <v>2020.9</v>
      </c>
      <c r="U60" s="116">
        <f>ROUND(G60*7.33,1)</f>
        <v>2092</v>
      </c>
    </row>
    <row r="61" spans="1:21" ht="13.8" thickBot="1">
      <c r="A61" s="63" t="s">
        <v>319</v>
      </c>
      <c r="B61" s="132">
        <v>932.2</v>
      </c>
      <c r="C61" s="132">
        <v>775.6</v>
      </c>
      <c r="D61" s="132">
        <v>845.6</v>
      </c>
      <c r="E61" s="132">
        <v>994.9</v>
      </c>
      <c r="F61" s="132">
        <v>901.2</v>
      </c>
      <c r="G61" s="132">
        <v>919.9</v>
      </c>
      <c r="H61" s="110"/>
      <c r="I61" s="116">
        <f t="shared" si="27"/>
        <v>1333</v>
      </c>
      <c r="J61" s="116">
        <f t="shared" si="27"/>
        <v>1109.0999999999999</v>
      </c>
      <c r="K61" s="116">
        <f t="shared" si="27"/>
        <v>1209.2</v>
      </c>
      <c r="L61" s="116">
        <f t="shared" si="27"/>
        <v>1422.7</v>
      </c>
      <c r="M61" s="116">
        <f>ROUND(F61*1.43,1)</f>
        <v>1288.7</v>
      </c>
      <c r="N61" s="116">
        <f>N65-N56</f>
        <v>1315.3999999999999</v>
      </c>
      <c r="O61" s="110"/>
      <c r="P61" s="116">
        <f>P65-P56</f>
        <v>6833.0999999999995</v>
      </c>
      <c r="Q61" s="116">
        <f>ROUND(C61*7.33,1)</f>
        <v>5685.1</v>
      </c>
      <c r="R61" s="116">
        <f>ROUND(D61*7.33,1)</f>
        <v>6198.2</v>
      </c>
      <c r="S61" s="116">
        <f>S65-S56</f>
        <v>7292.6</v>
      </c>
      <c r="T61" s="116">
        <f>ROUND(F61*7.33,1)</f>
        <v>6605.8</v>
      </c>
      <c r="U61" s="116">
        <f>ROUND(G61*7.33,1)</f>
        <v>6742.9</v>
      </c>
    </row>
    <row r="62" spans="1:21">
      <c r="A62" s="31" t="s">
        <v>282</v>
      </c>
      <c r="B62" s="151"/>
      <c r="C62" s="151"/>
      <c r="D62" s="151"/>
      <c r="E62" s="151"/>
      <c r="F62" s="151"/>
      <c r="G62" s="151"/>
      <c r="H62" s="131"/>
      <c r="I62" s="58"/>
      <c r="J62" s="58"/>
      <c r="K62" s="58"/>
      <c r="L62" s="58"/>
      <c r="M62" s="58"/>
      <c r="N62" s="58"/>
      <c r="O62" s="131"/>
      <c r="P62" s="58"/>
      <c r="Q62" s="58"/>
      <c r="R62" s="58"/>
      <c r="S62" s="58"/>
      <c r="T62" s="58"/>
      <c r="U62" s="58"/>
    </row>
    <row r="63" spans="1:21">
      <c r="A63" s="52" t="s">
        <v>317</v>
      </c>
      <c r="B63" s="107">
        <v>528.79999999999995</v>
      </c>
      <c r="C63" s="107">
        <v>688.9</v>
      </c>
      <c r="D63" s="107">
        <v>727</v>
      </c>
      <c r="E63" s="107">
        <v>713.2</v>
      </c>
      <c r="F63" s="107">
        <v>718.5</v>
      </c>
      <c r="G63" s="107">
        <f>G54+G59</f>
        <v>717.4</v>
      </c>
      <c r="H63" s="109"/>
      <c r="I63" s="116">
        <f t="shared" ref="I63:N64" si="28">I54+I59</f>
        <v>756.1</v>
      </c>
      <c r="J63" s="116">
        <f t="shared" si="28"/>
        <v>985.1</v>
      </c>
      <c r="K63" s="116">
        <f t="shared" si="28"/>
        <v>1039.5999999999999</v>
      </c>
      <c r="L63" s="116">
        <f t="shared" si="28"/>
        <v>1019.9</v>
      </c>
      <c r="M63" s="116">
        <f t="shared" si="28"/>
        <v>1027.4000000000001</v>
      </c>
      <c r="N63" s="116">
        <f t="shared" si="28"/>
        <v>1025.8999999999999</v>
      </c>
      <c r="O63" s="109"/>
      <c r="P63" s="116">
        <f>ROUND(B63*7.33,1)</f>
        <v>3876.1</v>
      </c>
      <c r="Q63" s="116">
        <f>ROUND(C63*7.33,1)</f>
        <v>5049.6000000000004</v>
      </c>
      <c r="R63" s="116">
        <f>ROUND(D63*7.33,1)</f>
        <v>5328.9</v>
      </c>
      <c r="S63" s="116">
        <f>S59+S54</f>
        <v>5227.7</v>
      </c>
      <c r="T63" s="116">
        <f t="shared" ref="T63:U65" si="29">ROUND(F63*7.33,1)</f>
        <v>5266.6</v>
      </c>
      <c r="U63" s="116">
        <f t="shared" si="29"/>
        <v>5258.5</v>
      </c>
    </row>
    <row r="64" spans="1:21">
      <c r="A64" s="52" t="s">
        <v>318</v>
      </c>
      <c r="B64" s="107">
        <v>702.9</v>
      </c>
      <c r="C64" s="107">
        <v>377.6</v>
      </c>
      <c r="D64" s="107">
        <v>405.5</v>
      </c>
      <c r="E64" s="107">
        <v>565</v>
      </c>
      <c r="F64" s="107">
        <v>435.5</v>
      </c>
      <c r="G64" s="107">
        <f>G55+G60</f>
        <v>464.5</v>
      </c>
      <c r="H64" s="109"/>
      <c r="I64" s="116">
        <f t="shared" si="28"/>
        <v>1005.2</v>
      </c>
      <c r="J64" s="116">
        <f t="shared" si="28"/>
        <v>540</v>
      </c>
      <c r="K64" s="116">
        <f t="shared" si="28"/>
        <v>579.90000000000009</v>
      </c>
      <c r="L64" s="116">
        <f t="shared" si="28"/>
        <v>807.9</v>
      </c>
      <c r="M64" s="116">
        <f t="shared" si="28"/>
        <v>622.79999999999995</v>
      </c>
      <c r="N64" s="116">
        <f t="shared" si="28"/>
        <v>664.2</v>
      </c>
      <c r="O64" s="109"/>
      <c r="P64" s="116">
        <f>P60+P55</f>
        <v>5152.2999999999993</v>
      </c>
      <c r="Q64" s="116">
        <f>ROUND(C64*7.33,1)</f>
        <v>2767.8</v>
      </c>
      <c r="R64" s="116">
        <f>ROUND(D64*7.33,1)</f>
        <v>2972.3</v>
      </c>
      <c r="S64" s="116">
        <f>S60+S55</f>
        <v>4141.5</v>
      </c>
      <c r="T64" s="116">
        <f t="shared" si="29"/>
        <v>3192.2</v>
      </c>
      <c r="U64" s="116">
        <f t="shared" si="29"/>
        <v>3404.8</v>
      </c>
    </row>
    <row r="65" spans="1:21" ht="13.8" thickBot="1">
      <c r="A65" s="69" t="s">
        <v>319</v>
      </c>
      <c r="B65" s="142">
        <v>1231.7</v>
      </c>
      <c r="C65" s="142">
        <v>1066.5</v>
      </c>
      <c r="D65" s="142">
        <v>1132.5</v>
      </c>
      <c r="E65" s="142">
        <f>ROUND(1278.17,1)</f>
        <v>1278.2</v>
      </c>
      <c r="F65" s="142">
        <v>1154</v>
      </c>
      <c r="G65" s="142">
        <f>G63+G64</f>
        <v>1181.9000000000001</v>
      </c>
      <c r="H65" s="109"/>
      <c r="I65" s="142">
        <f t="shared" ref="I65:N65" si="30">ROUND(B65*1.43,1)</f>
        <v>1761.3</v>
      </c>
      <c r="J65" s="142">
        <f t="shared" si="30"/>
        <v>1525.1</v>
      </c>
      <c r="K65" s="142">
        <f t="shared" si="30"/>
        <v>1619.5</v>
      </c>
      <c r="L65" s="142">
        <f t="shared" si="30"/>
        <v>1827.8</v>
      </c>
      <c r="M65" s="142">
        <f t="shared" si="30"/>
        <v>1650.2</v>
      </c>
      <c r="N65" s="142">
        <f t="shared" si="30"/>
        <v>1690.1</v>
      </c>
      <c r="O65" s="109"/>
      <c r="P65" s="142">
        <f>ROUND(B65*7.33,1)</f>
        <v>9028.4</v>
      </c>
      <c r="Q65" s="142">
        <f>ROUND(C65*7.33,1)</f>
        <v>7817.4</v>
      </c>
      <c r="R65" s="142">
        <f>ROUND(D65*7.33,1)</f>
        <v>8301.2000000000007</v>
      </c>
      <c r="S65" s="142">
        <f>ROUND(E65*7.33,1)</f>
        <v>9369.2000000000007</v>
      </c>
      <c r="T65" s="142">
        <f t="shared" si="29"/>
        <v>8458.7999999999993</v>
      </c>
      <c r="U65" s="142">
        <f t="shared" si="29"/>
        <v>8663.2999999999993</v>
      </c>
    </row>
    <row r="66" spans="1:21" ht="13.8" thickTop="1">
      <c r="A66" s="92" t="s">
        <v>1115</v>
      </c>
      <c r="B66" s="110"/>
      <c r="C66" s="110"/>
      <c r="D66" s="110"/>
      <c r="E66" s="110"/>
      <c r="F66" s="110"/>
      <c r="G66" s="110"/>
      <c r="H66" s="109"/>
      <c r="I66" s="110"/>
      <c r="J66" s="110"/>
      <c r="K66" s="110"/>
      <c r="L66" s="110"/>
      <c r="M66" s="110"/>
      <c r="N66" s="110"/>
      <c r="O66" s="109"/>
      <c r="P66" s="110"/>
      <c r="Q66" s="110"/>
      <c r="R66" s="110"/>
      <c r="S66" s="110"/>
      <c r="T66" s="110"/>
      <c r="U66" s="110"/>
    </row>
    <row r="67" spans="1:21">
      <c r="A67" s="92" t="s">
        <v>340</v>
      </c>
      <c r="B67" s="28"/>
      <c r="C67" s="28"/>
      <c r="D67" s="28"/>
      <c r="E67" s="28"/>
      <c r="F67" s="28"/>
      <c r="G67" s="28"/>
      <c r="H67" s="49"/>
      <c r="I67" s="28"/>
      <c r="J67" s="28"/>
      <c r="K67" s="28"/>
      <c r="L67" s="28"/>
      <c r="M67" s="28"/>
      <c r="N67" s="28"/>
      <c r="O67" s="49"/>
      <c r="P67" s="28"/>
      <c r="Q67" s="28"/>
      <c r="R67" s="28"/>
      <c r="S67" s="28"/>
      <c r="T67" s="28"/>
      <c r="U67" s="28"/>
    </row>
    <row r="68" spans="1:21">
      <c r="A68" s="49"/>
      <c r="B68" s="49"/>
      <c r="C68" s="49"/>
      <c r="D68" s="49"/>
      <c r="E68" s="49"/>
      <c r="F68" s="49"/>
      <c r="G68" s="49"/>
      <c r="H68" s="49"/>
      <c r="I68" s="49"/>
      <c r="J68" s="49"/>
      <c r="K68" s="49"/>
      <c r="L68" s="49"/>
      <c r="M68" s="49"/>
      <c r="N68" s="49"/>
      <c r="O68" s="49"/>
      <c r="P68" s="49"/>
      <c r="Q68" s="49"/>
      <c r="R68" s="49"/>
      <c r="S68" s="49"/>
      <c r="T68" s="49"/>
      <c r="U68" s="49"/>
    </row>
    <row r="69" spans="1:21">
      <c r="A69" s="530" t="s">
        <v>213</v>
      </c>
      <c r="B69" s="530"/>
      <c r="C69" s="530"/>
      <c r="D69" s="530"/>
      <c r="E69" s="530"/>
      <c r="F69" s="530"/>
      <c r="G69" s="530"/>
      <c r="H69" s="530"/>
      <c r="I69" s="4"/>
      <c r="J69" s="4"/>
      <c r="K69" s="4"/>
      <c r="L69" s="4"/>
      <c r="M69" s="4"/>
      <c r="N69" s="4"/>
      <c r="P69" s="4"/>
      <c r="Q69" s="4"/>
      <c r="R69" s="4"/>
      <c r="S69" s="4"/>
      <c r="T69" s="4"/>
      <c r="U69" s="4"/>
    </row>
    <row r="70" spans="1:21" hidden="1">
      <c r="A70" s="8"/>
      <c r="B70" s="9"/>
      <c r="C70" s="10"/>
      <c r="D70" s="10"/>
      <c r="E70" s="10"/>
      <c r="F70" s="4"/>
      <c r="G70" s="4"/>
      <c r="I70" s="4"/>
      <c r="J70" s="4"/>
      <c r="K70" s="4"/>
      <c r="L70" s="4"/>
      <c r="M70" s="4"/>
      <c r="N70" s="4"/>
      <c r="P70" s="4"/>
      <c r="Q70" s="4"/>
      <c r="R70" s="4"/>
      <c r="S70" s="4"/>
      <c r="T70" s="4"/>
      <c r="U70" s="4"/>
    </row>
    <row r="71" spans="1:21" hidden="1">
      <c r="A71" s="8"/>
      <c r="B71" s="9"/>
      <c r="C71" s="10"/>
      <c r="D71" s="10"/>
      <c r="E71" s="10"/>
      <c r="F71" s="4"/>
      <c r="G71" s="4"/>
      <c r="I71" s="4"/>
      <c r="J71" s="4"/>
      <c r="K71" s="4"/>
      <c r="L71" s="4"/>
      <c r="M71" s="4"/>
      <c r="N71" s="4"/>
      <c r="P71" s="4"/>
      <c r="Q71" s="4"/>
      <c r="R71" s="4"/>
      <c r="S71" s="4"/>
      <c r="T71" s="4"/>
      <c r="U71" s="4"/>
    </row>
    <row r="72" spans="1:21" hidden="1">
      <c r="A72" s="8"/>
      <c r="B72" s="9"/>
      <c r="C72" s="10"/>
      <c r="D72" s="10"/>
      <c r="E72" s="10"/>
      <c r="F72" s="4"/>
      <c r="G72" s="4"/>
      <c r="I72" s="4"/>
      <c r="J72" s="4"/>
      <c r="K72" s="4"/>
      <c r="L72" s="4"/>
      <c r="M72" s="4"/>
      <c r="N72" s="4"/>
      <c r="P72" s="4"/>
      <c r="Q72" s="4"/>
      <c r="R72" s="4"/>
      <c r="S72" s="4"/>
      <c r="T72" s="4"/>
      <c r="U72" s="4"/>
    </row>
    <row r="73" spans="1:21" hidden="1">
      <c r="A73" s="4"/>
      <c r="B73" s="4"/>
      <c r="C73" s="4"/>
      <c r="D73" s="4"/>
      <c r="E73" s="4"/>
      <c r="F73" s="4"/>
      <c r="G73" s="4"/>
      <c r="I73" s="4"/>
      <c r="J73" s="4"/>
      <c r="K73" s="4"/>
      <c r="L73" s="4"/>
      <c r="M73" s="4"/>
      <c r="N73" s="4"/>
      <c r="P73" s="4"/>
      <c r="Q73" s="4"/>
      <c r="R73" s="4"/>
      <c r="S73" s="4"/>
      <c r="T73" s="4"/>
      <c r="U73" s="4"/>
    </row>
    <row r="74" spans="1:21" hidden="1">
      <c r="A74" s="4"/>
      <c r="B74" s="4"/>
      <c r="C74" s="4"/>
      <c r="D74" s="4"/>
      <c r="E74" s="4"/>
      <c r="F74" s="4"/>
      <c r="G74" s="4"/>
      <c r="I74" s="4"/>
      <c r="J74" s="4"/>
      <c r="K74" s="4"/>
      <c r="L74" s="4"/>
      <c r="M74" s="4"/>
      <c r="N74" s="4"/>
      <c r="P74" s="4"/>
      <c r="Q74" s="4"/>
      <c r="R74" s="4"/>
      <c r="S74" s="4"/>
      <c r="T74" s="4"/>
      <c r="U74" s="4"/>
    </row>
    <row r="75" spans="1:21" hidden="1">
      <c r="A75" s="4"/>
      <c r="B75" s="4"/>
      <c r="C75" s="4"/>
      <c r="D75" s="4"/>
      <c r="E75" s="4"/>
      <c r="F75" s="4"/>
      <c r="G75" s="4"/>
      <c r="I75" s="4"/>
      <c r="J75" s="4"/>
      <c r="K75" s="4"/>
      <c r="L75" s="4"/>
      <c r="M75" s="4"/>
      <c r="N75" s="4"/>
      <c r="P75" s="4"/>
      <c r="Q75" s="4"/>
      <c r="R75" s="4"/>
      <c r="S75" s="4"/>
      <c r="T75" s="4"/>
      <c r="U75" s="4"/>
    </row>
    <row r="76" spans="1:21" hidden="1">
      <c r="A76" s="4"/>
      <c r="B76" s="4"/>
      <c r="C76" s="4"/>
      <c r="D76" s="4"/>
      <c r="E76" s="4"/>
      <c r="F76" s="4"/>
      <c r="G76" s="4"/>
      <c r="I76" s="4"/>
      <c r="J76" s="4"/>
      <c r="K76" s="4"/>
      <c r="L76" s="4"/>
      <c r="M76" s="4"/>
      <c r="N76" s="4"/>
      <c r="P76" s="4"/>
      <c r="Q76" s="4"/>
      <c r="R76" s="4"/>
      <c r="S76" s="4"/>
      <c r="T76" s="4"/>
      <c r="U76" s="4"/>
    </row>
    <row r="77" spans="1:21" hidden="1">
      <c r="A77" s="4"/>
      <c r="B77" s="4"/>
      <c r="C77" s="4"/>
      <c r="D77" s="4"/>
      <c r="E77" s="4"/>
      <c r="F77" s="4"/>
      <c r="G77" s="4"/>
      <c r="I77" s="4"/>
      <c r="J77" s="4"/>
      <c r="K77" s="4"/>
      <c r="L77" s="4"/>
      <c r="M77" s="4"/>
      <c r="N77" s="4"/>
      <c r="P77" s="4"/>
      <c r="Q77" s="4"/>
      <c r="R77" s="4"/>
      <c r="S77" s="4"/>
      <c r="T77" s="4"/>
      <c r="U77" s="4"/>
    </row>
    <row r="78" spans="1:21" hidden="1">
      <c r="A78" s="4"/>
      <c r="B78" s="4"/>
      <c r="C78" s="4"/>
      <c r="D78" s="4"/>
      <c r="E78" s="4"/>
      <c r="F78" s="4"/>
      <c r="G78" s="4"/>
      <c r="I78" s="4"/>
      <c r="J78" s="4"/>
      <c r="K78" s="4"/>
      <c r="L78" s="4"/>
      <c r="M78" s="4"/>
      <c r="N78" s="4"/>
      <c r="P78" s="4"/>
      <c r="Q78" s="4"/>
      <c r="R78" s="4"/>
      <c r="S78" s="4"/>
      <c r="T78" s="4"/>
      <c r="U78" s="4"/>
    </row>
    <row r="79" spans="1:21" hidden="1">
      <c r="A79" s="4"/>
      <c r="B79" s="4"/>
      <c r="C79" s="4"/>
      <c r="D79" s="4"/>
      <c r="E79" s="4"/>
      <c r="F79" s="4"/>
      <c r="G79" s="4"/>
      <c r="I79" s="4"/>
      <c r="J79" s="4"/>
      <c r="K79" s="4"/>
      <c r="L79" s="4"/>
      <c r="M79" s="4"/>
      <c r="N79" s="4"/>
      <c r="P79" s="4"/>
      <c r="Q79" s="4"/>
      <c r="R79" s="4"/>
      <c r="S79" s="4"/>
      <c r="T79" s="4"/>
      <c r="U79" s="4"/>
    </row>
    <row r="80" spans="1:21" hidden="1">
      <c r="A80" s="4"/>
      <c r="B80" s="4"/>
      <c r="C80" s="4"/>
      <c r="D80" s="4"/>
      <c r="E80" s="4"/>
      <c r="F80" s="4"/>
      <c r="G80" s="4"/>
      <c r="I80" s="4"/>
      <c r="J80" s="4"/>
      <c r="K80" s="4"/>
      <c r="L80" s="4"/>
      <c r="M80" s="4"/>
      <c r="N80" s="4"/>
      <c r="P80" s="4"/>
      <c r="Q80" s="4"/>
      <c r="R80" s="4"/>
      <c r="S80" s="4"/>
      <c r="T80" s="4"/>
      <c r="U80" s="4"/>
    </row>
    <row r="81" spans="1:21" hidden="1">
      <c r="A81" s="4"/>
      <c r="B81" s="4"/>
      <c r="C81" s="4"/>
      <c r="D81" s="4"/>
      <c r="E81" s="4"/>
      <c r="F81" s="4"/>
      <c r="G81" s="4"/>
      <c r="I81" s="4"/>
      <c r="J81" s="4"/>
      <c r="K81" s="4"/>
      <c r="L81" s="4"/>
      <c r="M81" s="4"/>
      <c r="N81" s="4"/>
      <c r="P81" s="4"/>
      <c r="Q81" s="4"/>
      <c r="R81" s="4"/>
      <c r="S81" s="4"/>
      <c r="T81" s="4"/>
      <c r="U81" s="4"/>
    </row>
    <row r="82" spans="1:21" hidden="1">
      <c r="A82" s="4"/>
      <c r="B82" s="4"/>
      <c r="C82" s="4"/>
      <c r="D82" s="4"/>
      <c r="E82" s="4"/>
      <c r="F82" s="4"/>
      <c r="G82" s="4"/>
      <c r="I82" s="4"/>
      <c r="J82" s="4"/>
      <c r="K82" s="4"/>
      <c r="L82" s="4"/>
      <c r="M82" s="4"/>
      <c r="N82" s="4"/>
      <c r="P82" s="4"/>
      <c r="Q82" s="4"/>
      <c r="R82" s="4"/>
      <c r="S82" s="4"/>
      <c r="T82" s="4"/>
      <c r="U82" s="4"/>
    </row>
    <row r="83" spans="1:21" hidden="1">
      <c r="A83" s="4"/>
      <c r="B83" s="4"/>
      <c r="C83" s="4"/>
      <c r="D83" s="4"/>
      <c r="E83" s="4"/>
      <c r="F83" s="4"/>
      <c r="G83" s="4"/>
      <c r="I83" s="4"/>
      <c r="J83" s="4"/>
      <c r="K83" s="4"/>
      <c r="L83" s="4"/>
      <c r="M83" s="4"/>
      <c r="N83" s="4"/>
      <c r="P83" s="4"/>
      <c r="Q83" s="4"/>
      <c r="R83" s="4"/>
      <c r="S83" s="4"/>
      <c r="T83" s="4"/>
      <c r="U83" s="4"/>
    </row>
    <row r="84" spans="1:21" hidden="1">
      <c r="A84" s="4"/>
      <c r="B84" s="4"/>
      <c r="C84" s="4"/>
      <c r="D84" s="4"/>
      <c r="E84" s="4"/>
      <c r="F84" s="4"/>
      <c r="G84" s="4"/>
      <c r="I84" s="4"/>
      <c r="J84" s="4"/>
      <c r="K84" s="4"/>
      <c r="L84" s="4"/>
      <c r="M84" s="4"/>
      <c r="N84" s="4"/>
      <c r="P84" s="4"/>
      <c r="Q84" s="4"/>
      <c r="R84" s="4"/>
      <c r="S84" s="4"/>
      <c r="T84" s="4"/>
      <c r="U84" s="4"/>
    </row>
    <row r="85" spans="1:21" hidden="1">
      <c r="A85" s="4"/>
      <c r="B85" s="4"/>
      <c r="C85" s="4"/>
      <c r="D85" s="4"/>
      <c r="E85" s="4"/>
      <c r="F85" s="4"/>
      <c r="G85" s="4"/>
      <c r="I85" s="4"/>
      <c r="J85" s="4"/>
      <c r="K85" s="4"/>
      <c r="L85" s="4"/>
      <c r="M85" s="4"/>
      <c r="N85" s="4"/>
      <c r="P85" s="4"/>
      <c r="Q85" s="4"/>
      <c r="R85" s="4"/>
      <c r="S85" s="4"/>
      <c r="T85" s="4"/>
      <c r="U85" s="4"/>
    </row>
    <row r="86" spans="1:21" hidden="1">
      <c r="A86" s="4"/>
      <c r="B86" s="4"/>
      <c r="C86" s="4"/>
      <c r="D86" s="4"/>
      <c r="E86" s="4"/>
      <c r="F86" s="4"/>
      <c r="G86" s="4"/>
      <c r="I86" s="4"/>
      <c r="J86" s="4"/>
      <c r="K86" s="4"/>
      <c r="L86" s="4"/>
      <c r="M86" s="4"/>
      <c r="N86" s="4"/>
      <c r="P86" s="4"/>
      <c r="Q86" s="4"/>
      <c r="R86" s="4"/>
      <c r="S86" s="4"/>
      <c r="T86" s="4"/>
      <c r="U86" s="4"/>
    </row>
    <row r="87" spans="1:21" hidden="1">
      <c r="A87" s="4"/>
      <c r="B87" s="4"/>
      <c r="C87" s="4"/>
      <c r="D87" s="4"/>
      <c r="E87" s="4"/>
      <c r="F87" s="4"/>
      <c r="G87" s="4"/>
      <c r="I87" s="4"/>
      <c r="J87" s="4"/>
      <c r="K87" s="4"/>
      <c r="L87" s="4"/>
      <c r="M87" s="4"/>
      <c r="N87" s="4"/>
      <c r="P87" s="4"/>
      <c r="Q87" s="4"/>
      <c r="R87" s="4"/>
      <c r="S87" s="4"/>
      <c r="T87" s="4"/>
      <c r="U87" s="4"/>
    </row>
    <row r="88" spans="1:21" hidden="1">
      <c r="A88" s="4"/>
      <c r="B88" s="4"/>
      <c r="C88" s="4"/>
      <c r="D88" s="4"/>
      <c r="E88" s="4"/>
      <c r="F88" s="4"/>
      <c r="G88" s="4"/>
      <c r="I88" s="4"/>
      <c r="J88" s="4"/>
      <c r="K88" s="4"/>
      <c r="L88" s="4"/>
      <c r="M88" s="4"/>
      <c r="N88" s="4"/>
      <c r="P88" s="4"/>
      <c r="Q88" s="4"/>
      <c r="R88" s="4"/>
      <c r="S88" s="4"/>
      <c r="T88" s="4"/>
      <c r="U88" s="4"/>
    </row>
    <row r="89" spans="1:21" hidden="1">
      <c r="A89" s="4"/>
      <c r="B89" s="4"/>
      <c r="C89" s="4"/>
      <c r="D89" s="4"/>
      <c r="E89" s="4"/>
      <c r="F89" s="4"/>
      <c r="G89" s="4"/>
      <c r="I89" s="4"/>
      <c r="J89" s="4"/>
      <c r="K89" s="4"/>
      <c r="L89" s="4"/>
      <c r="M89" s="4"/>
      <c r="N89" s="4"/>
      <c r="P89" s="4"/>
      <c r="Q89" s="4"/>
      <c r="R89" s="4"/>
      <c r="S89" s="4"/>
      <c r="T89" s="4"/>
      <c r="U89" s="4"/>
    </row>
    <row r="90" spans="1:21" hidden="1">
      <c r="A90" s="4"/>
      <c r="B90" s="4"/>
      <c r="C90" s="4"/>
      <c r="D90" s="4"/>
      <c r="E90" s="4"/>
      <c r="F90" s="4"/>
      <c r="G90" s="4"/>
      <c r="I90" s="4"/>
      <c r="J90" s="4"/>
      <c r="K90" s="4"/>
      <c r="L90" s="4"/>
      <c r="M90" s="4"/>
      <c r="N90" s="4"/>
      <c r="P90" s="4"/>
      <c r="Q90" s="4"/>
      <c r="R90" s="4"/>
      <c r="S90" s="4"/>
      <c r="T90" s="4"/>
      <c r="U90" s="4"/>
    </row>
    <row r="91" spans="1:21" hidden="1">
      <c r="A91" s="4"/>
      <c r="B91" s="4"/>
      <c r="C91" s="4"/>
      <c r="D91" s="4"/>
      <c r="E91" s="4"/>
      <c r="F91" s="4"/>
      <c r="G91" s="4"/>
      <c r="I91" s="4"/>
      <c r="J91" s="4"/>
      <c r="K91" s="4"/>
      <c r="L91" s="4"/>
      <c r="M91" s="4"/>
      <c r="N91" s="4"/>
      <c r="P91" s="4"/>
      <c r="Q91" s="4"/>
      <c r="R91" s="4"/>
      <c r="S91" s="4"/>
      <c r="T91" s="4"/>
      <c r="U91" s="4"/>
    </row>
    <row r="92" spans="1:21" hidden="1">
      <c r="A92" s="4"/>
      <c r="B92" s="4"/>
      <c r="C92" s="4"/>
      <c r="D92" s="4"/>
      <c r="E92" s="4"/>
      <c r="F92" s="4"/>
      <c r="G92" s="4"/>
      <c r="I92" s="4"/>
      <c r="J92" s="4"/>
      <c r="K92" s="4"/>
      <c r="L92" s="4"/>
      <c r="M92" s="4"/>
      <c r="N92" s="4"/>
      <c r="P92" s="4"/>
      <c r="Q92" s="4"/>
      <c r="R92" s="4"/>
      <c r="S92" s="4"/>
      <c r="T92" s="4"/>
      <c r="U92" s="4"/>
    </row>
    <row r="93" spans="1:21" hidden="1">
      <c r="A93" s="4"/>
      <c r="B93" s="4"/>
      <c r="C93" s="4"/>
      <c r="D93" s="4"/>
      <c r="E93" s="4"/>
      <c r="F93" s="4"/>
      <c r="G93" s="4"/>
      <c r="I93" s="4"/>
      <c r="J93" s="4"/>
      <c r="K93" s="4"/>
      <c r="L93" s="4"/>
      <c r="M93" s="4"/>
      <c r="N93" s="4"/>
      <c r="P93" s="4"/>
      <c r="Q93" s="4"/>
      <c r="R93" s="4"/>
      <c r="S93" s="4"/>
      <c r="T93" s="4"/>
      <c r="U93" s="4"/>
    </row>
    <row r="94" spans="1:21" hidden="1">
      <c r="A94" s="4"/>
      <c r="B94" s="4"/>
      <c r="C94" s="4"/>
      <c r="D94" s="4"/>
      <c r="E94" s="4"/>
      <c r="F94" s="4"/>
      <c r="G94" s="4"/>
      <c r="I94" s="4"/>
      <c r="J94" s="4"/>
      <c r="K94" s="4"/>
      <c r="L94" s="4"/>
      <c r="M94" s="4"/>
      <c r="N94" s="4"/>
      <c r="P94" s="4"/>
      <c r="Q94" s="4"/>
      <c r="R94" s="4"/>
      <c r="S94" s="4"/>
      <c r="T94" s="4"/>
      <c r="U94" s="4"/>
    </row>
    <row r="95" spans="1:21" hidden="1">
      <c r="A95" s="4"/>
      <c r="B95" s="4"/>
      <c r="C95" s="4"/>
      <c r="D95" s="4"/>
      <c r="E95" s="4"/>
      <c r="F95" s="4"/>
      <c r="G95" s="4"/>
      <c r="I95" s="4"/>
      <c r="J95" s="4"/>
      <c r="K95" s="4"/>
      <c r="L95" s="4"/>
      <c r="M95" s="4"/>
      <c r="N95" s="4"/>
      <c r="P95" s="4"/>
      <c r="Q95" s="4"/>
      <c r="R95" s="4"/>
      <c r="S95" s="4"/>
      <c r="T95" s="4"/>
      <c r="U95" s="4"/>
    </row>
    <row r="96" spans="1:21" hidden="1">
      <c r="A96" s="4"/>
      <c r="B96" s="4"/>
      <c r="C96" s="4"/>
      <c r="D96" s="4"/>
      <c r="E96" s="4"/>
      <c r="F96" s="4"/>
      <c r="G96" s="4"/>
      <c r="I96" s="4"/>
      <c r="J96" s="4"/>
      <c r="K96" s="4"/>
      <c r="L96" s="4"/>
      <c r="M96" s="4"/>
      <c r="N96" s="4"/>
      <c r="P96" s="4"/>
      <c r="Q96" s="4"/>
      <c r="R96" s="4"/>
      <c r="S96" s="4"/>
      <c r="T96" s="4"/>
      <c r="U96" s="4"/>
    </row>
    <row r="97" spans="1:21" hidden="1">
      <c r="A97" s="4"/>
      <c r="B97" s="4"/>
      <c r="C97" s="4"/>
      <c r="D97" s="4"/>
      <c r="E97" s="4"/>
      <c r="F97" s="4"/>
      <c r="G97" s="4"/>
      <c r="I97" s="4"/>
      <c r="J97" s="4"/>
      <c r="K97" s="4"/>
      <c r="L97" s="4"/>
      <c r="M97" s="4"/>
      <c r="N97" s="4"/>
      <c r="P97" s="4"/>
      <c r="Q97" s="4"/>
      <c r="R97" s="4"/>
      <c r="S97" s="4"/>
      <c r="T97" s="4"/>
      <c r="U97" s="4"/>
    </row>
    <row r="98" spans="1:21" hidden="1">
      <c r="A98" s="4"/>
      <c r="B98" s="4"/>
      <c r="C98" s="4"/>
      <c r="D98" s="4"/>
      <c r="E98" s="4"/>
      <c r="F98" s="4"/>
      <c r="G98" s="4"/>
      <c r="I98" s="4"/>
      <c r="J98" s="4"/>
      <c r="K98" s="4"/>
      <c r="L98" s="4"/>
      <c r="M98" s="4"/>
      <c r="N98" s="4"/>
      <c r="P98" s="4"/>
      <c r="Q98" s="4"/>
      <c r="R98" s="4"/>
      <c r="S98" s="4"/>
      <c r="T98" s="4"/>
      <c r="U98" s="4"/>
    </row>
    <row r="99" spans="1:21" hidden="1">
      <c r="A99" s="4"/>
      <c r="B99" s="4"/>
      <c r="C99" s="4"/>
      <c r="D99" s="4"/>
      <c r="E99" s="4"/>
      <c r="F99" s="4"/>
      <c r="G99" s="4"/>
      <c r="I99" s="4"/>
      <c r="J99" s="4"/>
      <c r="K99" s="4"/>
      <c r="L99" s="4"/>
      <c r="M99" s="4"/>
      <c r="N99" s="4"/>
      <c r="P99" s="4"/>
      <c r="Q99" s="4"/>
      <c r="R99" s="4"/>
      <c r="S99" s="4"/>
      <c r="T99" s="4"/>
      <c r="U99" s="4"/>
    </row>
    <row r="100" spans="1:21" hidden="1">
      <c r="A100" s="4"/>
      <c r="B100" s="4"/>
      <c r="C100" s="4"/>
      <c r="D100" s="4"/>
      <c r="E100" s="4"/>
      <c r="F100" s="4"/>
      <c r="G100" s="4"/>
      <c r="I100" s="4"/>
      <c r="J100" s="4"/>
      <c r="K100" s="4"/>
      <c r="L100" s="4"/>
      <c r="M100" s="4"/>
      <c r="N100" s="4"/>
      <c r="P100" s="4"/>
      <c r="Q100" s="4"/>
      <c r="R100" s="4"/>
      <c r="S100" s="4"/>
      <c r="T100" s="4"/>
      <c r="U100" s="4"/>
    </row>
    <row r="101" spans="1:21" hidden="1">
      <c r="A101" s="4"/>
      <c r="B101" s="4"/>
      <c r="C101" s="4"/>
      <c r="D101" s="4"/>
      <c r="E101" s="4"/>
      <c r="F101" s="4"/>
      <c r="G101" s="4"/>
      <c r="I101" s="4"/>
      <c r="J101" s="4"/>
      <c r="K101" s="4"/>
      <c r="L101" s="4"/>
      <c r="M101" s="4"/>
      <c r="N101" s="4"/>
      <c r="P101" s="4"/>
      <c r="Q101" s="4"/>
      <c r="R101" s="4"/>
      <c r="S101" s="4"/>
      <c r="T101" s="4"/>
      <c r="U101" s="4"/>
    </row>
    <row r="102" spans="1:21" hidden="1">
      <c r="A102" s="4"/>
      <c r="B102" s="4"/>
      <c r="C102" s="4"/>
      <c r="D102" s="4"/>
      <c r="E102" s="4"/>
      <c r="F102" s="4"/>
      <c r="G102" s="4"/>
      <c r="I102" s="4"/>
      <c r="J102" s="4"/>
      <c r="K102" s="4"/>
      <c r="L102" s="4"/>
      <c r="M102" s="4"/>
      <c r="N102" s="4"/>
      <c r="P102" s="4"/>
      <c r="Q102" s="4"/>
      <c r="R102" s="4"/>
      <c r="S102" s="4"/>
      <c r="T102" s="4"/>
      <c r="U102" s="4"/>
    </row>
    <row r="103" spans="1:21" hidden="1">
      <c r="A103" s="4"/>
      <c r="B103" s="4"/>
      <c r="C103" s="4"/>
      <c r="D103" s="4"/>
      <c r="E103" s="4"/>
      <c r="F103" s="4"/>
      <c r="G103" s="4"/>
      <c r="I103" s="4"/>
      <c r="J103" s="4"/>
      <c r="K103" s="4"/>
      <c r="L103" s="4"/>
      <c r="M103" s="4"/>
      <c r="N103" s="4"/>
      <c r="P103" s="4"/>
      <c r="Q103" s="4"/>
      <c r="R103" s="4"/>
      <c r="S103" s="4"/>
      <c r="T103" s="4"/>
      <c r="U103" s="4"/>
    </row>
    <row r="104" spans="1:21" hidden="1">
      <c r="A104" s="4"/>
      <c r="B104" s="4"/>
      <c r="C104" s="4"/>
      <c r="D104" s="4"/>
      <c r="E104" s="4"/>
      <c r="F104" s="4"/>
      <c r="G104" s="4"/>
      <c r="I104" s="4"/>
      <c r="J104" s="4"/>
      <c r="K104" s="4"/>
      <c r="L104" s="4"/>
      <c r="M104" s="4"/>
      <c r="N104" s="4"/>
      <c r="P104" s="4"/>
      <c r="Q104" s="4"/>
      <c r="R104" s="4"/>
      <c r="S104" s="4"/>
      <c r="T104" s="4"/>
      <c r="U104" s="4"/>
    </row>
    <row r="105" spans="1:21" hidden="1">
      <c r="A105" s="4"/>
      <c r="B105" s="4"/>
      <c r="C105" s="4"/>
      <c r="D105" s="4"/>
      <c r="E105" s="4"/>
      <c r="F105" s="4"/>
      <c r="G105" s="4"/>
      <c r="I105" s="4"/>
      <c r="J105" s="4"/>
      <c r="K105" s="4"/>
      <c r="L105" s="4"/>
      <c r="M105" s="4"/>
      <c r="N105" s="4"/>
      <c r="P105" s="4"/>
      <c r="Q105" s="4"/>
      <c r="R105" s="4"/>
      <c r="S105" s="4"/>
      <c r="T105" s="4"/>
      <c r="U105" s="4"/>
    </row>
    <row r="106" spans="1:21" hidden="1">
      <c r="A106" s="4"/>
      <c r="B106" s="4"/>
      <c r="C106" s="4"/>
      <c r="D106" s="4"/>
      <c r="E106" s="4"/>
      <c r="F106" s="4"/>
      <c r="G106" s="4"/>
      <c r="I106" s="4"/>
      <c r="J106" s="4"/>
      <c r="K106" s="4"/>
      <c r="L106" s="4"/>
      <c r="M106" s="4"/>
      <c r="N106" s="4"/>
      <c r="P106" s="4"/>
      <c r="Q106" s="4"/>
      <c r="R106" s="4"/>
      <c r="S106" s="4"/>
      <c r="T106" s="4"/>
      <c r="U106" s="4"/>
    </row>
    <row r="107" spans="1:21" hidden="1">
      <c r="A107" s="4"/>
      <c r="B107" s="4"/>
      <c r="C107" s="4"/>
      <c r="D107" s="4"/>
      <c r="E107" s="4"/>
      <c r="F107" s="4"/>
      <c r="G107" s="4"/>
      <c r="I107" s="4"/>
      <c r="J107" s="4"/>
      <c r="K107" s="4"/>
      <c r="L107" s="4"/>
      <c r="M107" s="4"/>
      <c r="N107" s="4"/>
      <c r="P107" s="4"/>
      <c r="Q107" s="4"/>
      <c r="R107" s="4"/>
      <c r="S107" s="4"/>
      <c r="T107" s="4"/>
      <c r="U107" s="4"/>
    </row>
    <row r="108" spans="1:21" hidden="1">
      <c r="A108" s="4"/>
      <c r="B108" s="4"/>
      <c r="C108" s="4"/>
      <c r="D108" s="4"/>
      <c r="E108" s="4"/>
      <c r="F108" s="4"/>
      <c r="G108" s="4"/>
      <c r="I108" s="4"/>
      <c r="J108" s="4"/>
      <c r="K108" s="4"/>
      <c r="L108" s="4"/>
      <c r="M108" s="4"/>
      <c r="N108" s="4"/>
      <c r="P108" s="4"/>
      <c r="Q108" s="4"/>
      <c r="R108" s="4"/>
      <c r="S108" s="4"/>
      <c r="T108" s="4"/>
      <c r="U108" s="4"/>
    </row>
    <row r="109" spans="1:21" hidden="1">
      <c r="A109" s="4"/>
      <c r="B109" s="4"/>
      <c r="C109" s="4"/>
      <c r="D109" s="4"/>
      <c r="E109" s="4"/>
      <c r="F109" s="4"/>
      <c r="G109" s="4"/>
      <c r="I109" s="4"/>
      <c r="J109" s="4"/>
      <c r="K109" s="4"/>
      <c r="L109" s="4"/>
      <c r="M109" s="4"/>
      <c r="N109" s="4"/>
      <c r="P109" s="4"/>
      <c r="Q109" s="4"/>
      <c r="R109" s="4"/>
      <c r="S109" s="4"/>
      <c r="T109" s="4"/>
      <c r="U109" s="4"/>
    </row>
    <row r="110" spans="1:21" hidden="1">
      <c r="A110" s="4"/>
      <c r="B110" s="4"/>
      <c r="C110" s="4"/>
      <c r="D110" s="4"/>
      <c r="E110" s="4"/>
      <c r="F110" s="4"/>
      <c r="G110" s="4"/>
      <c r="I110" s="4"/>
      <c r="J110" s="4"/>
      <c r="K110" s="4"/>
      <c r="L110" s="4"/>
      <c r="M110" s="4"/>
      <c r="N110" s="4"/>
      <c r="P110" s="4"/>
      <c r="Q110" s="4"/>
      <c r="R110" s="4"/>
      <c r="S110" s="4"/>
      <c r="T110" s="4"/>
      <c r="U110" s="4"/>
    </row>
    <row r="111" spans="1:21" hidden="1">
      <c r="A111" s="4"/>
      <c r="B111" s="4"/>
      <c r="C111" s="4"/>
      <c r="D111" s="4"/>
      <c r="E111" s="4"/>
      <c r="F111" s="4"/>
      <c r="G111" s="4"/>
      <c r="I111" s="4"/>
      <c r="J111" s="4"/>
      <c r="K111" s="4"/>
      <c r="L111" s="4"/>
      <c r="M111" s="4"/>
      <c r="N111" s="4"/>
      <c r="P111" s="4"/>
      <c r="Q111" s="4"/>
      <c r="R111" s="4"/>
      <c r="S111" s="4"/>
      <c r="T111" s="4"/>
      <c r="U111" s="4"/>
    </row>
    <row r="112" spans="1:21" hidden="1">
      <c r="A112" s="4"/>
      <c r="B112" s="4"/>
      <c r="C112" s="4"/>
      <c r="D112" s="4"/>
      <c r="E112" s="4"/>
      <c r="F112" s="4"/>
      <c r="G112" s="4"/>
      <c r="I112" s="4"/>
      <c r="J112" s="4"/>
      <c r="K112" s="4"/>
      <c r="L112" s="4"/>
      <c r="M112" s="4"/>
      <c r="N112" s="4"/>
      <c r="P112" s="4"/>
      <c r="Q112" s="4"/>
      <c r="R112" s="4"/>
      <c r="S112" s="4"/>
      <c r="T112" s="4"/>
      <c r="U112" s="4"/>
    </row>
    <row r="113" spans="1:21" hidden="1">
      <c r="A113" s="4"/>
      <c r="B113" s="4"/>
      <c r="C113" s="4"/>
      <c r="D113" s="4"/>
      <c r="E113" s="4"/>
      <c r="F113" s="4"/>
      <c r="G113" s="4"/>
      <c r="I113" s="4"/>
      <c r="J113" s="4"/>
      <c r="K113" s="4"/>
      <c r="L113" s="4"/>
      <c r="M113" s="4"/>
      <c r="N113" s="4"/>
      <c r="P113" s="4"/>
      <c r="Q113" s="4"/>
      <c r="R113" s="4"/>
      <c r="S113" s="4"/>
      <c r="T113" s="4"/>
      <c r="U113" s="4"/>
    </row>
    <row r="114" spans="1:21" hidden="1">
      <c r="A114" s="4"/>
      <c r="B114" s="4"/>
      <c r="C114" s="4"/>
      <c r="D114" s="4"/>
      <c r="E114" s="4"/>
      <c r="F114" s="4"/>
      <c r="G114" s="4"/>
      <c r="I114" s="4"/>
      <c r="J114" s="4"/>
      <c r="K114" s="4"/>
      <c r="L114" s="4"/>
      <c r="M114" s="4"/>
      <c r="N114" s="4"/>
      <c r="P114" s="4"/>
      <c r="Q114" s="4"/>
      <c r="R114" s="4"/>
      <c r="S114" s="4"/>
      <c r="T114" s="4"/>
      <c r="U114" s="4"/>
    </row>
    <row r="115" spans="1:21" hidden="1">
      <c r="A115" s="4"/>
      <c r="B115" s="4"/>
      <c r="C115" s="4"/>
      <c r="D115" s="4"/>
      <c r="E115" s="4"/>
      <c r="F115" s="4"/>
      <c r="G115" s="4"/>
      <c r="I115" s="4"/>
      <c r="J115" s="4"/>
      <c r="K115" s="4"/>
      <c r="L115" s="4"/>
      <c r="M115" s="4"/>
      <c r="N115" s="4"/>
      <c r="P115" s="4"/>
      <c r="Q115" s="4"/>
      <c r="R115" s="4"/>
      <c r="S115" s="4"/>
      <c r="T115" s="4"/>
      <c r="U115" s="4"/>
    </row>
  </sheetData>
  <sheetProtection password="CAF1" sheet="1" formatCells="0" formatColumns="0" formatRows="0" insertColumns="0" insertRows="0" insertHyperlinks="0" deleteColumns="0" deleteRows="0" sort="0" autoFilter="0" pivotTables="0"/>
  <mergeCells count="33">
    <mergeCell ref="A20:A21"/>
    <mergeCell ref="A69:H69"/>
    <mergeCell ref="B57:G57"/>
    <mergeCell ref="A57:A58"/>
    <mergeCell ref="A37:A38"/>
    <mergeCell ref="B52:F52"/>
    <mergeCell ref="A52:A53"/>
    <mergeCell ref="B53:F53"/>
    <mergeCell ref="C49:G49"/>
    <mergeCell ref="I36:N36"/>
    <mergeCell ref="B36:G36"/>
    <mergeCell ref="P51:U51"/>
    <mergeCell ref="P36:U36"/>
    <mergeCell ref="B51:G51"/>
    <mergeCell ref="I51:N51"/>
    <mergeCell ref="B37:F38"/>
    <mergeCell ref="I49:N49"/>
    <mergeCell ref="P49:U49"/>
    <mergeCell ref="A15:A16"/>
    <mergeCell ref="A5:A6"/>
    <mergeCell ref="A10:A11"/>
    <mergeCell ref="B4:G4"/>
    <mergeCell ref="B15:G15"/>
    <mergeCell ref="B10:G10"/>
    <mergeCell ref="I2:N2"/>
    <mergeCell ref="B2:G2"/>
    <mergeCell ref="P2:U2"/>
    <mergeCell ref="P34:U34"/>
    <mergeCell ref="I34:N34"/>
    <mergeCell ref="B34:G34"/>
    <mergeCell ref="I4:N4"/>
    <mergeCell ref="P4:U4"/>
    <mergeCell ref="B20:G20"/>
  </mergeCells>
  <phoneticPr fontId="7" type="noConversion"/>
  <hyperlinks>
    <hyperlink ref="A69:H69" location="Contents!A1" display="Back to the Contents"/>
  </hyperlinks>
  <pageMargins left="0.25" right="0.25" top="0.75" bottom="0.75" header="0.3" footer="0.3"/>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rowBreaks count="1" manualBreakCount="1">
    <brk id="32" max="16383" man="1"/>
  </rowBreaks>
</worksheet>
</file>

<file path=xl/worksheets/sheet9.xml><?xml version="1.0" encoding="utf-8"?>
<worksheet xmlns="http://schemas.openxmlformats.org/spreadsheetml/2006/main" xmlns:r="http://schemas.openxmlformats.org/officeDocument/2006/relationships">
  <dimension ref="A1:BB45"/>
  <sheetViews>
    <sheetView zoomScaleNormal="100" zoomScaleSheetLayoutView="100" workbookViewId="0"/>
  </sheetViews>
  <sheetFormatPr defaultColWidth="0" defaultRowHeight="13.2" zeroHeight="1" outlineLevelCol="1"/>
  <cols>
    <col min="1" max="1" width="31" style="2" customWidth="1"/>
    <col min="2" max="2" width="7.33203125" style="2" hidden="1" customWidth="1" outlineLevel="1"/>
    <col min="3" max="3" width="7.33203125" style="2" customWidth="1" collapsed="1"/>
    <col min="4" max="7" width="7.33203125" style="2" customWidth="1"/>
    <col min="8" max="8" width="1.33203125" style="4" customWidth="1"/>
    <col min="9" max="9" width="7.33203125" style="2" hidden="1" customWidth="1" outlineLevel="1"/>
    <col min="10" max="10" width="7.33203125" style="2" customWidth="1" collapsed="1"/>
    <col min="11" max="14" width="7.33203125" style="2" customWidth="1"/>
    <col min="15" max="15" width="1.33203125" style="4" customWidth="1"/>
    <col min="16" max="16" width="7.6640625" style="2" hidden="1" customWidth="1" outlineLevel="1"/>
    <col min="17" max="17" width="7.6640625" style="2" customWidth="1" collapsed="1"/>
    <col min="18" max="21" width="7.6640625" style="2" customWidth="1"/>
    <col min="22" max="54" width="7.6640625" style="2" hidden="1" customWidth="1"/>
    <col min="55" max="16384" width="0" style="2" hidden="1"/>
  </cols>
  <sheetData>
    <row r="1" spans="1:21" ht="15.6">
      <c r="A1" s="48" t="s">
        <v>1110</v>
      </c>
      <c r="B1" s="28"/>
      <c r="C1" s="28"/>
      <c r="D1" s="28"/>
      <c r="E1" s="28"/>
      <c r="F1" s="28"/>
      <c r="G1" s="28"/>
      <c r="H1" s="49"/>
      <c r="I1" s="28"/>
      <c r="J1" s="28"/>
      <c r="K1" s="28"/>
      <c r="L1" s="28"/>
      <c r="M1" s="28"/>
      <c r="N1" s="28"/>
      <c r="O1" s="49"/>
      <c r="P1" s="28"/>
      <c r="Q1" s="28"/>
      <c r="R1" s="28"/>
      <c r="S1" s="28"/>
      <c r="T1" s="28"/>
      <c r="U1" s="28"/>
    </row>
    <row r="2" spans="1:21" ht="13.2" customHeight="1">
      <c r="A2" s="546" t="s">
        <v>348</v>
      </c>
      <c r="B2" s="531" t="s">
        <v>300</v>
      </c>
      <c r="C2" s="531"/>
      <c r="D2" s="531"/>
      <c r="E2" s="531"/>
      <c r="F2" s="531"/>
      <c r="G2" s="531"/>
      <c r="H2" s="130"/>
      <c r="I2" s="531" t="s">
        <v>300</v>
      </c>
      <c r="J2" s="531"/>
      <c r="K2" s="531"/>
      <c r="L2" s="531"/>
      <c r="M2" s="531"/>
      <c r="N2" s="531"/>
      <c r="O2" s="130"/>
      <c r="P2" s="531" t="s">
        <v>300</v>
      </c>
      <c r="Q2" s="531"/>
      <c r="R2" s="531"/>
      <c r="S2" s="531"/>
      <c r="T2" s="531"/>
      <c r="U2" s="531"/>
    </row>
    <row r="3" spans="1:21">
      <c r="A3" s="546"/>
      <c r="B3" s="30">
        <v>2005</v>
      </c>
      <c r="C3" s="30">
        <v>2006</v>
      </c>
      <c r="D3" s="30">
        <v>2007</v>
      </c>
      <c r="E3" s="30">
        <v>2008</v>
      </c>
      <c r="F3" s="30">
        <v>2009</v>
      </c>
      <c r="G3" s="30">
        <v>2010</v>
      </c>
      <c r="H3" s="129"/>
      <c r="I3" s="30">
        <v>2005</v>
      </c>
      <c r="J3" s="30">
        <v>2006</v>
      </c>
      <c r="K3" s="30">
        <v>2007</v>
      </c>
      <c r="L3" s="30">
        <v>2008</v>
      </c>
      <c r="M3" s="30">
        <v>2009</v>
      </c>
      <c r="N3" s="30">
        <v>2010</v>
      </c>
      <c r="O3" s="129"/>
      <c r="P3" s="30">
        <v>2005</v>
      </c>
      <c r="Q3" s="30">
        <v>2006</v>
      </c>
      <c r="R3" s="30">
        <v>2007</v>
      </c>
      <c r="S3" s="30">
        <v>2008</v>
      </c>
      <c r="T3" s="30">
        <v>2009</v>
      </c>
      <c r="U3" s="30">
        <v>2010</v>
      </c>
    </row>
    <row r="4" spans="1:21" ht="13.2" customHeight="1">
      <c r="A4" s="152"/>
      <c r="B4" s="547" t="s">
        <v>301</v>
      </c>
      <c r="C4" s="547"/>
      <c r="D4" s="547"/>
      <c r="E4" s="547"/>
      <c r="F4" s="547"/>
      <c r="G4" s="547"/>
      <c r="H4" s="154"/>
      <c r="I4" s="547" t="s">
        <v>302</v>
      </c>
      <c r="J4" s="547"/>
      <c r="K4" s="547"/>
      <c r="L4" s="547"/>
      <c r="M4" s="547"/>
      <c r="N4" s="547"/>
      <c r="O4" s="154"/>
      <c r="P4" s="547" t="s">
        <v>303</v>
      </c>
      <c r="Q4" s="547"/>
      <c r="R4" s="547"/>
      <c r="S4" s="547"/>
      <c r="T4" s="547"/>
      <c r="U4" s="547"/>
    </row>
    <row r="5" spans="1:21">
      <c r="A5" s="46" t="s">
        <v>341</v>
      </c>
      <c r="B5" s="116">
        <v>22341.200000000001</v>
      </c>
      <c r="C5" s="116">
        <v>21937.3</v>
      </c>
      <c r="D5" s="116">
        <v>21514.1</v>
      </c>
      <c r="E5" s="116">
        <v>24265.200000000001</v>
      </c>
      <c r="F5" s="116">
        <v>24390.6</v>
      </c>
      <c r="G5" s="116">
        <v>23566.799999999999</v>
      </c>
      <c r="H5" s="109"/>
      <c r="I5" s="116">
        <f t="shared" ref="I5:K10" si="0">ROUND(B5*1.154,1)</f>
        <v>25781.7</v>
      </c>
      <c r="J5" s="116">
        <f t="shared" si="0"/>
        <v>25315.599999999999</v>
      </c>
      <c r="K5" s="116">
        <f t="shared" si="0"/>
        <v>24827.3</v>
      </c>
      <c r="L5" s="116">
        <f>ROUNDUP(E5*1.154,1)</f>
        <v>28002.1</v>
      </c>
      <c r="M5" s="116">
        <f>ROUND(F5*1.154,1)</f>
        <v>28146.799999999999</v>
      </c>
      <c r="N5" s="116">
        <f>ROUND(G5*1.154,1)</f>
        <v>27196.1</v>
      </c>
      <c r="O5" s="110"/>
      <c r="P5" s="116">
        <f>ROUNDDOWN(B5*5.89,1)</f>
        <v>131589.6</v>
      </c>
      <c r="Q5" s="116">
        <f t="shared" ref="Q5:U10" si="1">ROUND(C5*5.89,1)</f>
        <v>129210.7</v>
      </c>
      <c r="R5" s="116">
        <f t="shared" si="1"/>
        <v>126718</v>
      </c>
      <c r="S5" s="116">
        <f t="shared" si="1"/>
        <v>142922</v>
      </c>
      <c r="T5" s="116">
        <f t="shared" si="1"/>
        <v>143660.6</v>
      </c>
      <c r="U5" s="116">
        <f>ROUNDDOWN(G5*5.89,1)</f>
        <v>138808.4</v>
      </c>
    </row>
    <row r="6" spans="1:21">
      <c r="A6" s="46" t="s">
        <v>342</v>
      </c>
      <c r="B6" s="116">
        <v>94.2</v>
      </c>
      <c r="C6" s="116">
        <v>93.2</v>
      </c>
      <c r="D6" s="116">
        <v>93.3</v>
      </c>
      <c r="E6" s="116">
        <v>92.2</v>
      </c>
      <c r="F6" s="116">
        <v>90.4</v>
      </c>
      <c r="G6" s="116">
        <v>89.3</v>
      </c>
      <c r="H6" s="109"/>
      <c r="I6" s="116">
        <f t="shared" si="0"/>
        <v>108.7</v>
      </c>
      <c r="J6" s="116">
        <f t="shared" si="0"/>
        <v>107.6</v>
      </c>
      <c r="K6" s="116">
        <f t="shared" si="0"/>
        <v>107.7</v>
      </c>
      <c r="L6" s="116">
        <f t="shared" ref="L6:L12" si="2">ROUND(E6*1.154,1)</f>
        <v>106.4</v>
      </c>
      <c r="M6" s="116">
        <f>ROUND(F6*1.154,1)</f>
        <v>104.3</v>
      </c>
      <c r="N6" s="116">
        <f>ROUND(G6*1.154,1)</f>
        <v>103.1</v>
      </c>
      <c r="O6" s="110"/>
      <c r="P6" s="116">
        <f t="shared" ref="P6:P12" si="3">ROUND(B6*5.89,1)</f>
        <v>554.79999999999995</v>
      </c>
      <c r="Q6" s="116">
        <f t="shared" si="1"/>
        <v>548.9</v>
      </c>
      <c r="R6" s="116">
        <f t="shared" si="1"/>
        <v>549.5</v>
      </c>
      <c r="S6" s="116">
        <f t="shared" si="1"/>
        <v>543.1</v>
      </c>
      <c r="T6" s="116">
        <f t="shared" si="1"/>
        <v>532.5</v>
      </c>
      <c r="U6" s="116">
        <f t="shared" si="1"/>
        <v>526</v>
      </c>
    </row>
    <row r="7" spans="1:21">
      <c r="A7" s="46" t="s">
        <v>343</v>
      </c>
      <c r="B7" s="116">
        <v>2616.6</v>
      </c>
      <c r="C7" s="116">
        <v>2594.8000000000002</v>
      </c>
      <c r="D7" s="116">
        <v>2581.8000000000002</v>
      </c>
      <c r="E7" s="116">
        <v>2569</v>
      </c>
      <c r="F7" s="116">
        <v>2560.6999999999998</v>
      </c>
      <c r="G7" s="116">
        <v>2545.4</v>
      </c>
      <c r="H7" s="109"/>
      <c r="I7" s="116">
        <f t="shared" si="0"/>
        <v>3019.6</v>
      </c>
      <c r="J7" s="116">
        <f t="shared" si="0"/>
        <v>2994.4</v>
      </c>
      <c r="K7" s="116">
        <f t="shared" si="0"/>
        <v>2979.4</v>
      </c>
      <c r="L7" s="116">
        <f t="shared" si="2"/>
        <v>2964.6</v>
      </c>
      <c r="M7" s="116">
        <f>ROUNDUP(F7*1.154,1)</f>
        <v>2955.1</v>
      </c>
      <c r="N7" s="116">
        <f t="shared" ref="N7:N12" si="4">ROUND(G7*1.154,1)</f>
        <v>2937.4</v>
      </c>
      <c r="O7" s="110"/>
      <c r="P7" s="116">
        <f t="shared" si="3"/>
        <v>15411.8</v>
      </c>
      <c r="Q7" s="116">
        <f t="shared" si="1"/>
        <v>15283.4</v>
      </c>
      <c r="R7" s="116">
        <f t="shared" si="1"/>
        <v>15206.8</v>
      </c>
      <c r="S7" s="116">
        <f t="shared" si="1"/>
        <v>15131.4</v>
      </c>
      <c r="T7" s="116">
        <f t="shared" si="1"/>
        <v>15082.5</v>
      </c>
      <c r="U7" s="116">
        <f t="shared" si="1"/>
        <v>14992.4</v>
      </c>
    </row>
    <row r="8" spans="1:21">
      <c r="A8" s="46" t="s">
        <v>344</v>
      </c>
      <c r="B8" s="116">
        <v>830.4</v>
      </c>
      <c r="C8" s="116">
        <v>810.6</v>
      </c>
      <c r="D8" s="116">
        <v>792.8</v>
      </c>
      <c r="E8" s="116">
        <v>774.7</v>
      </c>
      <c r="F8" s="116">
        <v>758.5</v>
      </c>
      <c r="G8" s="116">
        <v>751.3</v>
      </c>
      <c r="H8" s="109"/>
      <c r="I8" s="116">
        <f t="shared" si="0"/>
        <v>958.3</v>
      </c>
      <c r="J8" s="116">
        <f t="shared" si="0"/>
        <v>935.4</v>
      </c>
      <c r="K8" s="116">
        <f t="shared" si="0"/>
        <v>914.9</v>
      </c>
      <c r="L8" s="116">
        <f t="shared" si="2"/>
        <v>894</v>
      </c>
      <c r="M8" s="116">
        <f>ROUND(F8*1.154,1)</f>
        <v>875.3</v>
      </c>
      <c r="N8" s="116">
        <f t="shared" si="4"/>
        <v>867</v>
      </c>
      <c r="O8" s="110"/>
      <c r="P8" s="116">
        <f t="shared" si="3"/>
        <v>4891.1000000000004</v>
      </c>
      <c r="Q8" s="116">
        <f t="shared" si="1"/>
        <v>4774.3999999999996</v>
      </c>
      <c r="R8" s="116">
        <f t="shared" si="1"/>
        <v>4669.6000000000004</v>
      </c>
      <c r="S8" s="116">
        <f t="shared" si="1"/>
        <v>4563</v>
      </c>
      <c r="T8" s="116">
        <f t="shared" si="1"/>
        <v>4467.6000000000004</v>
      </c>
      <c r="U8" s="116">
        <f t="shared" si="1"/>
        <v>4425.2</v>
      </c>
    </row>
    <row r="9" spans="1:21">
      <c r="A9" s="46" t="s">
        <v>345</v>
      </c>
      <c r="B9" s="116">
        <v>303.89999999999998</v>
      </c>
      <c r="C9" s="116">
        <v>295</v>
      </c>
      <c r="D9" s="116">
        <v>275.5</v>
      </c>
      <c r="E9" s="116">
        <v>291.7</v>
      </c>
      <c r="F9" s="116">
        <v>284.7</v>
      </c>
      <c r="G9" s="116">
        <v>308.3</v>
      </c>
      <c r="H9" s="109"/>
      <c r="I9" s="116">
        <f t="shared" si="0"/>
        <v>350.7</v>
      </c>
      <c r="J9" s="116">
        <f t="shared" si="0"/>
        <v>340.4</v>
      </c>
      <c r="K9" s="116">
        <f t="shared" si="0"/>
        <v>317.89999999999998</v>
      </c>
      <c r="L9" s="116">
        <f t="shared" si="2"/>
        <v>336.6</v>
      </c>
      <c r="M9" s="116">
        <f>ROUND(F9*1.154,1)</f>
        <v>328.5</v>
      </c>
      <c r="N9" s="116">
        <f t="shared" si="4"/>
        <v>355.8</v>
      </c>
      <c r="O9" s="110"/>
      <c r="P9" s="116">
        <f t="shared" si="3"/>
        <v>1790</v>
      </c>
      <c r="Q9" s="116">
        <f t="shared" si="1"/>
        <v>1737.6</v>
      </c>
      <c r="R9" s="116">
        <f t="shared" si="1"/>
        <v>1622.7</v>
      </c>
      <c r="S9" s="116">
        <f t="shared" si="1"/>
        <v>1718.1</v>
      </c>
      <c r="T9" s="116">
        <f t="shared" si="1"/>
        <v>1676.9</v>
      </c>
      <c r="U9" s="116">
        <f t="shared" si="1"/>
        <v>1815.9</v>
      </c>
    </row>
    <row r="10" spans="1:21">
      <c r="A10" s="46" t="s">
        <v>346</v>
      </c>
      <c r="B10" s="116">
        <v>8.8000000000000007</v>
      </c>
      <c r="C10" s="116">
        <v>8.8000000000000007</v>
      </c>
      <c r="D10" s="116">
        <v>22</v>
      </c>
      <c r="E10" s="116">
        <v>401.7</v>
      </c>
      <c r="F10" s="116">
        <v>402.2</v>
      </c>
      <c r="G10" s="116">
        <v>456.6</v>
      </c>
      <c r="H10" s="109"/>
      <c r="I10" s="116">
        <f t="shared" si="0"/>
        <v>10.199999999999999</v>
      </c>
      <c r="J10" s="116">
        <f t="shared" si="0"/>
        <v>10.199999999999999</v>
      </c>
      <c r="K10" s="116">
        <f t="shared" si="0"/>
        <v>25.4</v>
      </c>
      <c r="L10" s="116">
        <f t="shared" si="2"/>
        <v>463.6</v>
      </c>
      <c r="M10" s="116">
        <f>ROUND(F10*1.154,1)</f>
        <v>464.1</v>
      </c>
      <c r="N10" s="116">
        <f t="shared" si="4"/>
        <v>526.9</v>
      </c>
      <c r="O10" s="110"/>
      <c r="P10" s="116">
        <f t="shared" si="3"/>
        <v>51.8</v>
      </c>
      <c r="Q10" s="116">
        <f t="shared" si="1"/>
        <v>51.8</v>
      </c>
      <c r="R10" s="116">
        <f t="shared" si="1"/>
        <v>129.6</v>
      </c>
      <c r="S10" s="116">
        <f t="shared" si="1"/>
        <v>2366</v>
      </c>
      <c r="T10" s="116">
        <f t="shared" si="1"/>
        <v>2369</v>
      </c>
      <c r="U10" s="116">
        <f t="shared" si="1"/>
        <v>2689.4</v>
      </c>
    </row>
    <row r="11" spans="1:21" ht="13.8" thickBot="1">
      <c r="A11" s="46" t="s">
        <v>347</v>
      </c>
      <c r="B11" s="116">
        <v>2935.6</v>
      </c>
      <c r="C11" s="116">
        <v>4114.5</v>
      </c>
      <c r="D11" s="116">
        <v>4505.8999999999996</v>
      </c>
      <c r="E11" s="116">
        <v>4728.7</v>
      </c>
      <c r="F11" s="116">
        <v>5091.3</v>
      </c>
      <c r="G11" s="116">
        <v>5334.6</v>
      </c>
      <c r="H11" s="109"/>
      <c r="I11" s="116">
        <f>ROUNDDOWN(B11*1.154,1)</f>
        <v>3387.6</v>
      </c>
      <c r="J11" s="116">
        <f>ROUND(C11*1.154,1)</f>
        <v>4748.1000000000004</v>
      </c>
      <c r="K11" s="116">
        <f>ROUND(D11*1.154,1)</f>
        <v>5199.8</v>
      </c>
      <c r="L11" s="116">
        <f t="shared" si="2"/>
        <v>5456.9</v>
      </c>
      <c r="M11" s="116">
        <f>ROUND(F11*1.154,1)</f>
        <v>5875.4</v>
      </c>
      <c r="N11" s="116">
        <f t="shared" si="4"/>
        <v>6156.1</v>
      </c>
      <c r="O11" s="110"/>
      <c r="P11" s="116">
        <f t="shared" si="3"/>
        <v>17290.7</v>
      </c>
      <c r="Q11" s="116">
        <f t="shared" ref="Q11:S12" si="5">ROUND(C11*5.89,1)</f>
        <v>24234.400000000001</v>
      </c>
      <c r="R11" s="116">
        <f t="shared" si="5"/>
        <v>26539.8</v>
      </c>
      <c r="S11" s="116">
        <f t="shared" si="5"/>
        <v>27852</v>
      </c>
      <c r="T11" s="116">
        <f>ROUNDDOWN(F11*5.89,1)</f>
        <v>29987.7</v>
      </c>
      <c r="U11" s="116">
        <f>ROUNDDOWN(G11*5.89,1)</f>
        <v>31420.7</v>
      </c>
    </row>
    <row r="12" spans="1:21">
      <c r="A12" s="155" t="s">
        <v>282</v>
      </c>
      <c r="B12" s="156">
        <v>29130.7</v>
      </c>
      <c r="C12" s="156">
        <v>29854.2</v>
      </c>
      <c r="D12" s="156">
        <v>29785.4</v>
      </c>
      <c r="E12" s="156">
        <v>33123.199999999997</v>
      </c>
      <c r="F12" s="156">
        <v>33578.400000000001</v>
      </c>
      <c r="G12" s="156">
        <v>33052.300000000003</v>
      </c>
      <c r="H12" s="157"/>
      <c r="I12" s="156">
        <f>ROUND(B12*1.154,1)</f>
        <v>33616.800000000003</v>
      </c>
      <c r="J12" s="156">
        <f>ROUND(C12*1.154,1)</f>
        <v>34451.699999999997</v>
      </c>
      <c r="K12" s="156">
        <f>ROUND(D12*1.154,1)</f>
        <v>34372.400000000001</v>
      </c>
      <c r="L12" s="156">
        <f t="shared" si="2"/>
        <v>38224.199999999997</v>
      </c>
      <c r="M12" s="156">
        <f>ROUND(F12*1.154,1)</f>
        <v>38749.5</v>
      </c>
      <c r="N12" s="156">
        <f t="shared" si="4"/>
        <v>38142.400000000001</v>
      </c>
      <c r="O12" s="158"/>
      <c r="P12" s="156">
        <f t="shared" si="3"/>
        <v>171579.8</v>
      </c>
      <c r="Q12" s="156">
        <f t="shared" si="5"/>
        <v>175841.2</v>
      </c>
      <c r="R12" s="156">
        <f t="shared" si="5"/>
        <v>175436</v>
      </c>
      <c r="S12" s="156">
        <f t="shared" si="5"/>
        <v>195095.6</v>
      </c>
      <c r="T12" s="156">
        <f>ROUND(F12*5.89,1)</f>
        <v>197776.8</v>
      </c>
      <c r="U12" s="156">
        <f>ROUND(G12*5.89,1)</f>
        <v>194678</v>
      </c>
    </row>
    <row r="13" spans="1:21">
      <c r="A13" s="159"/>
      <c r="B13" s="160"/>
      <c r="C13" s="160"/>
      <c r="D13" s="160"/>
      <c r="E13" s="160"/>
      <c r="F13" s="160"/>
      <c r="G13" s="160"/>
      <c r="H13" s="157"/>
      <c r="I13" s="160"/>
      <c r="J13" s="160"/>
      <c r="K13" s="160"/>
      <c r="L13" s="160"/>
      <c r="M13" s="160"/>
      <c r="N13" s="160"/>
      <c r="O13" s="158"/>
      <c r="P13" s="160"/>
      <c r="Q13" s="160"/>
      <c r="R13" s="160"/>
      <c r="S13" s="160"/>
      <c r="T13" s="160"/>
      <c r="U13" s="160"/>
    </row>
    <row r="14" spans="1:21" ht="13.2" customHeight="1">
      <c r="A14" s="152"/>
      <c r="B14" s="547" t="s">
        <v>304</v>
      </c>
      <c r="C14" s="547"/>
      <c r="D14" s="547"/>
      <c r="E14" s="547"/>
      <c r="F14" s="547"/>
      <c r="G14" s="547"/>
      <c r="H14" s="154"/>
      <c r="I14" s="547" t="s">
        <v>305</v>
      </c>
      <c r="J14" s="547"/>
      <c r="K14" s="547"/>
      <c r="L14" s="547"/>
      <c r="M14" s="547"/>
      <c r="N14" s="547"/>
      <c r="O14" s="154"/>
      <c r="P14" s="547" t="s">
        <v>306</v>
      </c>
      <c r="Q14" s="547"/>
      <c r="R14" s="547"/>
      <c r="S14" s="547"/>
      <c r="T14" s="547"/>
      <c r="U14" s="547"/>
    </row>
    <row r="15" spans="1:21">
      <c r="A15" s="46" t="s">
        <v>341</v>
      </c>
      <c r="B15" s="116">
        <v>688.4</v>
      </c>
      <c r="C15" s="116">
        <v>689.7</v>
      </c>
      <c r="D15" s="116">
        <v>690.2</v>
      </c>
      <c r="E15" s="116">
        <v>760.4</v>
      </c>
      <c r="F15" s="116">
        <v>770.9</v>
      </c>
      <c r="G15" s="116">
        <v>724</v>
      </c>
      <c r="H15" s="109"/>
      <c r="I15" s="116">
        <f t="shared" ref="I15:L17" si="6">ROUND(B15*1.43,1)</f>
        <v>984.4</v>
      </c>
      <c r="J15" s="116">
        <f t="shared" si="6"/>
        <v>986.3</v>
      </c>
      <c r="K15" s="116">
        <f t="shared" si="6"/>
        <v>987</v>
      </c>
      <c r="L15" s="116">
        <f t="shared" si="6"/>
        <v>1087.4000000000001</v>
      </c>
      <c r="M15" s="116">
        <f>ROUNDDOWN(F15*1.43,1)</f>
        <v>1102.3</v>
      </c>
      <c r="N15" s="116">
        <f t="shared" ref="M15:N22" si="7">ROUND(G15*1.43,1)</f>
        <v>1035.3</v>
      </c>
      <c r="O15" s="110"/>
      <c r="P15" s="116">
        <f t="shared" ref="P15:P22" si="8">ROUND(B15*8.18,1)</f>
        <v>5631.1</v>
      </c>
      <c r="Q15" s="116">
        <f>ROUNDUP(C15*8.18,1)</f>
        <v>5641.8</v>
      </c>
      <c r="R15" s="116">
        <f>ROUNDUP(D15*8.18,1)</f>
        <v>5645.9000000000005</v>
      </c>
      <c r="S15" s="116">
        <f t="shared" ref="S15:S22" si="9">ROUND(E15*8.18,1)</f>
        <v>6220.1</v>
      </c>
      <c r="T15" s="116">
        <f>ROUNDDOWN(F15*8.18,1)</f>
        <v>6305.9</v>
      </c>
      <c r="U15" s="116">
        <f>ROUNDUP(G15*8.18,1)</f>
        <v>5922.4000000000005</v>
      </c>
    </row>
    <row r="16" spans="1:21">
      <c r="A16" s="46" t="s">
        <v>342</v>
      </c>
      <c r="B16" s="116">
        <v>21.5</v>
      </c>
      <c r="C16" s="116">
        <v>21.3</v>
      </c>
      <c r="D16" s="116">
        <v>21.3</v>
      </c>
      <c r="E16" s="116">
        <v>21.2</v>
      </c>
      <c r="F16" s="116">
        <v>20.9</v>
      </c>
      <c r="G16" s="116">
        <v>20.8</v>
      </c>
      <c r="H16" s="109"/>
      <c r="I16" s="116">
        <f t="shared" si="6"/>
        <v>30.7</v>
      </c>
      <c r="J16" s="116">
        <f t="shared" si="6"/>
        <v>30.5</v>
      </c>
      <c r="K16" s="116">
        <f t="shared" si="6"/>
        <v>30.5</v>
      </c>
      <c r="L16" s="116">
        <f t="shared" si="6"/>
        <v>30.3</v>
      </c>
      <c r="M16" s="116">
        <f t="shared" si="7"/>
        <v>29.9</v>
      </c>
      <c r="N16" s="116">
        <f t="shared" si="7"/>
        <v>29.7</v>
      </c>
      <c r="O16" s="110"/>
      <c r="P16" s="116">
        <f t="shared" si="8"/>
        <v>175.9</v>
      </c>
      <c r="Q16" s="116">
        <f>ROUND(C16*8.18,1)</f>
        <v>174.2</v>
      </c>
      <c r="R16" s="116">
        <f>ROUND(D16*8.18,1)</f>
        <v>174.2</v>
      </c>
      <c r="S16" s="116">
        <f t="shared" si="9"/>
        <v>173.4</v>
      </c>
      <c r="T16" s="116">
        <f t="shared" ref="T16:U22" si="10">ROUND(F16*8.18,1)</f>
        <v>171</v>
      </c>
      <c r="U16" s="116">
        <f t="shared" si="10"/>
        <v>170.1</v>
      </c>
    </row>
    <row r="17" spans="1:21">
      <c r="A17" s="46" t="s">
        <v>343</v>
      </c>
      <c r="B17" s="116">
        <v>395.8</v>
      </c>
      <c r="C17" s="116">
        <v>392.4</v>
      </c>
      <c r="D17" s="116">
        <v>389.2</v>
      </c>
      <c r="E17" s="116">
        <v>386</v>
      </c>
      <c r="F17" s="116">
        <v>383.5</v>
      </c>
      <c r="G17" s="116">
        <v>380.6</v>
      </c>
      <c r="H17" s="109"/>
      <c r="I17" s="116">
        <f t="shared" si="6"/>
        <v>566</v>
      </c>
      <c r="J17" s="116">
        <f t="shared" si="6"/>
        <v>561.1</v>
      </c>
      <c r="K17" s="116">
        <f t="shared" si="6"/>
        <v>556.6</v>
      </c>
      <c r="L17" s="116">
        <f t="shared" si="6"/>
        <v>552</v>
      </c>
      <c r="M17" s="116">
        <f t="shared" si="7"/>
        <v>548.4</v>
      </c>
      <c r="N17" s="116">
        <f t="shared" si="7"/>
        <v>544.29999999999995</v>
      </c>
      <c r="O17" s="110"/>
      <c r="P17" s="116">
        <f t="shared" si="8"/>
        <v>3237.6</v>
      </c>
      <c r="Q17" s="116">
        <f>ROUNDUP(C17*8.18,1)</f>
        <v>3209.9</v>
      </c>
      <c r="R17" s="116">
        <f>ROUND(D17*8.18,1)</f>
        <v>3183.7</v>
      </c>
      <c r="S17" s="116">
        <f t="shared" si="9"/>
        <v>3157.5</v>
      </c>
      <c r="T17" s="116">
        <f t="shared" si="10"/>
        <v>3137</v>
      </c>
      <c r="U17" s="116">
        <f>ROUNDUP(G17*8.18,1)</f>
        <v>3113.4</v>
      </c>
    </row>
    <row r="18" spans="1:21">
      <c r="A18" s="46" t="s">
        <v>344</v>
      </c>
      <c r="B18" s="116">
        <v>59.2</v>
      </c>
      <c r="C18" s="116">
        <v>58.7</v>
      </c>
      <c r="D18" s="116">
        <v>58</v>
      </c>
      <c r="E18" s="116">
        <v>57.5</v>
      </c>
      <c r="F18" s="116">
        <v>57.2</v>
      </c>
      <c r="G18" s="116">
        <v>57.4</v>
      </c>
      <c r="H18" s="109"/>
      <c r="I18" s="116">
        <f t="shared" ref="I18:K22" si="11">ROUND(B18*1.43,1)</f>
        <v>84.7</v>
      </c>
      <c r="J18" s="116">
        <f t="shared" si="11"/>
        <v>83.9</v>
      </c>
      <c r="K18" s="116">
        <f t="shared" si="11"/>
        <v>82.9</v>
      </c>
      <c r="L18" s="116">
        <f>ROUNDUP(E18*1.43,1)</f>
        <v>82.3</v>
      </c>
      <c r="M18" s="116">
        <f t="shared" si="7"/>
        <v>81.8</v>
      </c>
      <c r="N18" s="116">
        <f t="shared" si="7"/>
        <v>82.1</v>
      </c>
      <c r="O18" s="110"/>
      <c r="P18" s="116">
        <f t="shared" si="8"/>
        <v>484.3</v>
      </c>
      <c r="Q18" s="116">
        <f>ROUND(C18*8.18,1)</f>
        <v>480.2</v>
      </c>
      <c r="R18" s="116">
        <f>ROUNDUP(D18*8.18,1)</f>
        <v>474.5</v>
      </c>
      <c r="S18" s="116">
        <f t="shared" si="9"/>
        <v>470.4</v>
      </c>
      <c r="T18" s="116">
        <f t="shared" si="10"/>
        <v>467.9</v>
      </c>
      <c r="U18" s="116">
        <f t="shared" si="10"/>
        <v>469.5</v>
      </c>
    </row>
    <row r="19" spans="1:21">
      <c r="A19" s="46" t="s">
        <v>345</v>
      </c>
      <c r="B19" s="116">
        <v>26.9</v>
      </c>
      <c r="C19" s="116">
        <v>26.3</v>
      </c>
      <c r="D19" s="116">
        <v>21.8</v>
      </c>
      <c r="E19" s="116">
        <v>22.6</v>
      </c>
      <c r="F19" s="116">
        <v>21.1</v>
      </c>
      <c r="G19" s="116">
        <v>21.2</v>
      </c>
      <c r="H19" s="109"/>
      <c r="I19" s="116">
        <f t="shared" si="11"/>
        <v>38.5</v>
      </c>
      <c r="J19" s="116">
        <f t="shared" si="11"/>
        <v>37.6</v>
      </c>
      <c r="K19" s="116">
        <f t="shared" si="11"/>
        <v>31.2</v>
      </c>
      <c r="L19" s="116">
        <f>ROUND(E19*1.43,1)</f>
        <v>32.299999999999997</v>
      </c>
      <c r="M19" s="116">
        <f t="shared" si="7"/>
        <v>30.2</v>
      </c>
      <c r="N19" s="116">
        <f t="shared" si="7"/>
        <v>30.3</v>
      </c>
      <c r="O19" s="110"/>
      <c r="P19" s="116">
        <f t="shared" si="8"/>
        <v>220</v>
      </c>
      <c r="Q19" s="116">
        <f>ROUND(C19*8.18,1)</f>
        <v>215.1</v>
      </c>
      <c r="R19" s="116">
        <f>ROUND(D19*8.18,1)</f>
        <v>178.3</v>
      </c>
      <c r="S19" s="116">
        <f t="shared" si="9"/>
        <v>184.9</v>
      </c>
      <c r="T19" s="116">
        <f t="shared" si="10"/>
        <v>172.6</v>
      </c>
      <c r="U19" s="116">
        <f t="shared" si="10"/>
        <v>173.4</v>
      </c>
    </row>
    <row r="20" spans="1:21">
      <c r="A20" s="46" t="s">
        <v>346</v>
      </c>
      <c r="B20" s="116">
        <v>0.1</v>
      </c>
      <c r="C20" s="116">
        <v>0.1</v>
      </c>
      <c r="D20" s="116">
        <v>0.1</v>
      </c>
      <c r="E20" s="116">
        <v>5.8</v>
      </c>
      <c r="F20" s="116">
        <v>6</v>
      </c>
      <c r="G20" s="116">
        <v>6.9</v>
      </c>
      <c r="H20" s="109"/>
      <c r="I20" s="116">
        <f t="shared" si="11"/>
        <v>0.1</v>
      </c>
      <c r="J20" s="116">
        <f t="shared" si="11"/>
        <v>0.1</v>
      </c>
      <c r="K20" s="116">
        <f t="shared" si="11"/>
        <v>0.1</v>
      </c>
      <c r="L20" s="116">
        <f>ROUND(E20*1.43,1)</f>
        <v>8.3000000000000007</v>
      </c>
      <c r="M20" s="116">
        <f t="shared" si="7"/>
        <v>8.6</v>
      </c>
      <c r="N20" s="116">
        <f t="shared" si="7"/>
        <v>9.9</v>
      </c>
      <c r="O20" s="110"/>
      <c r="P20" s="116">
        <f t="shared" si="8"/>
        <v>0.8</v>
      </c>
      <c r="Q20" s="116">
        <f>ROUND(C20*8.18,1)</f>
        <v>0.8</v>
      </c>
      <c r="R20" s="116">
        <f>ROUND(D20*8.18,1)</f>
        <v>0.8</v>
      </c>
      <c r="S20" s="116">
        <f t="shared" si="9"/>
        <v>47.4</v>
      </c>
      <c r="T20" s="116">
        <f t="shared" si="10"/>
        <v>49.1</v>
      </c>
      <c r="U20" s="116">
        <f t="shared" si="10"/>
        <v>56.4</v>
      </c>
    </row>
    <row r="21" spans="1:21" ht="13.8" thickBot="1">
      <c r="A21" s="46" t="s">
        <v>347</v>
      </c>
      <c r="B21" s="116">
        <v>24.4</v>
      </c>
      <c r="C21" s="116">
        <v>28.5</v>
      </c>
      <c r="D21" s="116">
        <v>31.9</v>
      </c>
      <c r="E21" s="116">
        <v>33.6</v>
      </c>
      <c r="F21" s="116">
        <v>65.5</v>
      </c>
      <c r="G21" s="116">
        <v>73.900000000000006</v>
      </c>
      <c r="H21" s="109"/>
      <c r="I21" s="116">
        <f t="shared" si="11"/>
        <v>34.9</v>
      </c>
      <c r="J21" s="116">
        <f t="shared" si="11"/>
        <v>40.799999999999997</v>
      </c>
      <c r="K21" s="116">
        <f t="shared" si="11"/>
        <v>45.6</v>
      </c>
      <c r="L21" s="116">
        <f>ROUND(E21*1.43,1)</f>
        <v>48</v>
      </c>
      <c r="M21" s="116">
        <f t="shared" si="7"/>
        <v>93.7</v>
      </c>
      <c r="N21" s="116">
        <f t="shared" si="7"/>
        <v>105.7</v>
      </c>
      <c r="O21" s="110"/>
      <c r="P21" s="116">
        <f t="shared" si="8"/>
        <v>199.6</v>
      </c>
      <c r="Q21" s="116">
        <f>ROUND(C21*8.18,1)</f>
        <v>233.1</v>
      </c>
      <c r="R21" s="116">
        <f>ROUND(D21*8.18,1)</f>
        <v>260.89999999999998</v>
      </c>
      <c r="S21" s="116">
        <f t="shared" si="9"/>
        <v>274.8</v>
      </c>
      <c r="T21" s="116">
        <f t="shared" si="10"/>
        <v>535.79999999999995</v>
      </c>
      <c r="U21" s="116">
        <f t="shared" si="10"/>
        <v>604.5</v>
      </c>
    </row>
    <row r="22" spans="1:21">
      <c r="A22" s="155" t="s">
        <v>282</v>
      </c>
      <c r="B22" s="156">
        <v>1216.3</v>
      </c>
      <c r="C22" s="156">
        <v>1217</v>
      </c>
      <c r="D22" s="156">
        <v>1212.5</v>
      </c>
      <c r="E22" s="156">
        <v>1287.0999999999999</v>
      </c>
      <c r="F22" s="156">
        <v>1325.1</v>
      </c>
      <c r="G22" s="156">
        <v>1284.8</v>
      </c>
      <c r="H22" s="157"/>
      <c r="I22" s="156">
        <f t="shared" si="11"/>
        <v>1739.3</v>
      </c>
      <c r="J22" s="156">
        <f t="shared" si="11"/>
        <v>1740.3</v>
      </c>
      <c r="K22" s="156">
        <f t="shared" si="11"/>
        <v>1733.9</v>
      </c>
      <c r="L22" s="156">
        <f>ROUND(E22*1.43,1)</f>
        <v>1840.6</v>
      </c>
      <c r="M22" s="156">
        <f t="shared" si="7"/>
        <v>1894.9</v>
      </c>
      <c r="N22" s="156">
        <f t="shared" si="7"/>
        <v>1837.3</v>
      </c>
      <c r="O22" s="158"/>
      <c r="P22" s="156">
        <f t="shared" si="8"/>
        <v>9949.2999999999993</v>
      </c>
      <c r="Q22" s="156">
        <f>ROUND(C22*8.18,1)</f>
        <v>9955.1</v>
      </c>
      <c r="R22" s="156">
        <f>ROUND(D22*8.18,1)</f>
        <v>9918.2999999999993</v>
      </c>
      <c r="S22" s="156">
        <f t="shared" si="9"/>
        <v>10528.5</v>
      </c>
      <c r="T22" s="156">
        <f t="shared" si="10"/>
        <v>10839.3</v>
      </c>
      <c r="U22" s="156">
        <f t="shared" si="10"/>
        <v>10509.7</v>
      </c>
    </row>
    <row r="23" spans="1:21" ht="13.2" customHeight="1">
      <c r="A23" s="152"/>
      <c r="B23" s="547" t="s">
        <v>307</v>
      </c>
      <c r="C23" s="547"/>
      <c r="D23" s="547"/>
      <c r="E23" s="547"/>
      <c r="F23" s="547"/>
      <c r="G23" s="547"/>
      <c r="H23" s="154"/>
      <c r="I23" s="547" t="s">
        <v>308</v>
      </c>
      <c r="J23" s="547"/>
      <c r="K23" s="547"/>
      <c r="L23" s="547"/>
      <c r="M23" s="547"/>
      <c r="N23" s="547"/>
      <c r="O23" s="154"/>
      <c r="P23" s="547" t="s">
        <v>309</v>
      </c>
      <c r="Q23" s="547"/>
      <c r="R23" s="547"/>
      <c r="S23" s="547"/>
      <c r="T23" s="547"/>
      <c r="U23" s="547"/>
    </row>
    <row r="24" spans="1:21">
      <c r="A24" s="46" t="s">
        <v>341</v>
      </c>
      <c r="B24" s="388">
        <v>1152</v>
      </c>
      <c r="C24" s="116">
        <v>1146</v>
      </c>
      <c r="D24" s="116">
        <v>1261.0999999999999</v>
      </c>
      <c r="E24" s="116">
        <v>1303.0999999999999</v>
      </c>
      <c r="F24" s="116">
        <v>1461.6</v>
      </c>
      <c r="G24" s="116">
        <v>1400.1</v>
      </c>
      <c r="H24" s="110"/>
      <c r="I24" s="116">
        <f>ROUNDDOWN(B24*1.43,1)</f>
        <v>1647.3</v>
      </c>
      <c r="J24" s="116">
        <f t="shared" ref="J24:L27" si="12">ROUND(C24*1.43,1)</f>
        <v>1638.8</v>
      </c>
      <c r="K24" s="116">
        <f t="shared" si="12"/>
        <v>1803.4</v>
      </c>
      <c r="L24" s="116">
        <f t="shared" si="12"/>
        <v>1863.4</v>
      </c>
      <c r="M24" s="116">
        <f>ROUNDDOWN(F24*1.43,1)</f>
        <v>2090</v>
      </c>
      <c r="N24" s="116">
        <f t="shared" ref="M24:N31" si="13">ROUND(G24*1.43,1)</f>
        <v>2002.1</v>
      </c>
      <c r="O24" s="389"/>
      <c r="P24" s="388">
        <f t="shared" ref="P24:R31" si="14">ROUND(B24*7.33,1)</f>
        <v>8444.2000000000007</v>
      </c>
      <c r="Q24" s="116">
        <f t="shared" si="14"/>
        <v>8400.2000000000007</v>
      </c>
      <c r="R24" s="116">
        <f t="shared" si="14"/>
        <v>9243.9</v>
      </c>
      <c r="S24" s="116">
        <f>ROUNDUP(E24*7.33,1)</f>
        <v>9551.8000000000011</v>
      </c>
      <c r="T24" s="116">
        <f>ROUNDUP(F24*7.33,1)</f>
        <v>10713.6</v>
      </c>
      <c r="U24" s="116">
        <f>ROUNDUP(G24*7.33,1)</f>
        <v>10262.800000000001</v>
      </c>
    </row>
    <row r="25" spans="1:21" ht="12.75" customHeight="1">
      <c r="A25" s="46" t="s">
        <v>342</v>
      </c>
      <c r="B25" s="116">
        <v>2.1</v>
      </c>
      <c r="C25" s="116">
        <v>13.5</v>
      </c>
      <c r="D25" s="116">
        <v>14.2</v>
      </c>
      <c r="E25" s="116">
        <v>15.7</v>
      </c>
      <c r="F25" s="116">
        <v>16.899999999999999</v>
      </c>
      <c r="G25" s="116">
        <v>17.3</v>
      </c>
      <c r="H25" s="110"/>
      <c r="I25" s="116">
        <f t="shared" ref="I25:I31" si="15">ROUND(B25*1.43,1)</f>
        <v>3</v>
      </c>
      <c r="J25" s="116">
        <f t="shared" si="12"/>
        <v>19.3</v>
      </c>
      <c r="K25" s="116">
        <f t="shared" si="12"/>
        <v>20.3</v>
      </c>
      <c r="L25" s="116">
        <f t="shared" si="12"/>
        <v>22.5</v>
      </c>
      <c r="M25" s="116">
        <f t="shared" si="13"/>
        <v>24.2</v>
      </c>
      <c r="N25" s="116">
        <f t="shared" si="13"/>
        <v>24.7</v>
      </c>
      <c r="O25" s="110"/>
      <c r="P25" s="116">
        <f t="shared" si="14"/>
        <v>15.4</v>
      </c>
      <c r="Q25" s="116">
        <f t="shared" si="14"/>
        <v>99</v>
      </c>
      <c r="R25" s="116">
        <f t="shared" si="14"/>
        <v>104.1</v>
      </c>
      <c r="S25" s="116">
        <f t="shared" ref="S25:U31" si="16">ROUND(E25*7.33,1)</f>
        <v>115.1</v>
      </c>
      <c r="T25" s="116">
        <f t="shared" si="16"/>
        <v>123.9</v>
      </c>
      <c r="U25" s="116">
        <f t="shared" si="16"/>
        <v>126.8</v>
      </c>
    </row>
    <row r="26" spans="1:21">
      <c r="A26" s="46" t="s">
        <v>343</v>
      </c>
      <c r="B26" s="116">
        <v>3.5</v>
      </c>
      <c r="C26" s="116">
        <v>4.5</v>
      </c>
      <c r="D26" s="116">
        <v>5.4</v>
      </c>
      <c r="E26" s="116">
        <v>8.8000000000000007</v>
      </c>
      <c r="F26" s="116">
        <v>9.6999999999999993</v>
      </c>
      <c r="G26" s="116">
        <v>10.6</v>
      </c>
      <c r="H26" s="110"/>
      <c r="I26" s="116">
        <f t="shared" si="15"/>
        <v>5</v>
      </c>
      <c r="J26" s="116">
        <f t="shared" si="12"/>
        <v>6.4</v>
      </c>
      <c r="K26" s="116">
        <f t="shared" si="12"/>
        <v>7.7</v>
      </c>
      <c r="L26" s="116">
        <f t="shared" si="12"/>
        <v>12.6</v>
      </c>
      <c r="M26" s="116">
        <f t="shared" si="13"/>
        <v>13.9</v>
      </c>
      <c r="N26" s="116">
        <f t="shared" si="13"/>
        <v>15.2</v>
      </c>
      <c r="O26" s="110"/>
      <c r="P26" s="116">
        <f t="shared" si="14"/>
        <v>25.7</v>
      </c>
      <c r="Q26" s="116">
        <f t="shared" si="14"/>
        <v>33</v>
      </c>
      <c r="R26" s="116">
        <f t="shared" si="14"/>
        <v>39.6</v>
      </c>
      <c r="S26" s="116">
        <f t="shared" si="16"/>
        <v>64.5</v>
      </c>
      <c r="T26" s="116">
        <f t="shared" si="16"/>
        <v>71.099999999999994</v>
      </c>
      <c r="U26" s="116">
        <f t="shared" si="16"/>
        <v>77.7</v>
      </c>
    </row>
    <row r="27" spans="1:21">
      <c r="A27" s="46" t="s">
        <v>344</v>
      </c>
      <c r="B27" s="116">
        <v>118.6</v>
      </c>
      <c r="C27" s="116">
        <v>134.30000000000001</v>
      </c>
      <c r="D27" s="116">
        <v>133.9</v>
      </c>
      <c r="E27" s="116">
        <v>133.30000000000001</v>
      </c>
      <c r="F27" s="116">
        <v>145.1</v>
      </c>
      <c r="G27" s="116">
        <v>144.5</v>
      </c>
      <c r="H27" s="110"/>
      <c r="I27" s="116">
        <f t="shared" si="15"/>
        <v>169.6</v>
      </c>
      <c r="J27" s="116">
        <f t="shared" si="12"/>
        <v>192</v>
      </c>
      <c r="K27" s="116">
        <f t="shared" si="12"/>
        <v>191.5</v>
      </c>
      <c r="L27" s="116">
        <f t="shared" si="12"/>
        <v>190.6</v>
      </c>
      <c r="M27" s="116">
        <f t="shared" si="13"/>
        <v>207.5</v>
      </c>
      <c r="N27" s="116">
        <f t="shared" si="13"/>
        <v>206.6</v>
      </c>
      <c r="O27" s="110"/>
      <c r="P27" s="116">
        <f t="shared" si="14"/>
        <v>869.3</v>
      </c>
      <c r="Q27" s="116">
        <f t="shared" si="14"/>
        <v>984.4</v>
      </c>
      <c r="R27" s="116">
        <f t="shared" si="14"/>
        <v>981.5</v>
      </c>
      <c r="S27" s="116">
        <f t="shared" si="16"/>
        <v>977.1</v>
      </c>
      <c r="T27" s="116">
        <f t="shared" si="16"/>
        <v>1063.5999999999999</v>
      </c>
      <c r="U27" s="116">
        <f t="shared" si="16"/>
        <v>1059.2</v>
      </c>
    </row>
    <row r="28" spans="1:21">
      <c r="A28" s="46" t="s">
        <v>345</v>
      </c>
      <c r="B28" s="116">
        <v>31.3</v>
      </c>
      <c r="C28" s="116">
        <v>38.5</v>
      </c>
      <c r="D28" s="116">
        <v>44.6</v>
      </c>
      <c r="E28" s="116">
        <v>47.6</v>
      </c>
      <c r="F28" s="116">
        <v>58.3</v>
      </c>
      <c r="G28" s="116">
        <v>61.9</v>
      </c>
      <c r="H28" s="110"/>
      <c r="I28" s="116">
        <f t="shared" si="15"/>
        <v>44.8</v>
      </c>
      <c r="J28" s="116">
        <f t="shared" ref="J28:K31" si="17">ROUND(C28*1.43,1)</f>
        <v>55.1</v>
      </c>
      <c r="K28" s="116">
        <f t="shared" si="17"/>
        <v>63.8</v>
      </c>
      <c r="L28" s="116">
        <f>ROUNDDOWN(E28*1.43,1)</f>
        <v>68</v>
      </c>
      <c r="M28" s="116">
        <f t="shared" si="13"/>
        <v>83.4</v>
      </c>
      <c r="N28" s="116">
        <f t="shared" si="13"/>
        <v>88.5</v>
      </c>
      <c r="O28" s="110"/>
      <c r="P28" s="116">
        <f t="shared" si="14"/>
        <v>229.4</v>
      </c>
      <c r="Q28" s="116">
        <f t="shared" si="14"/>
        <v>282.2</v>
      </c>
      <c r="R28" s="116">
        <f t="shared" si="14"/>
        <v>326.89999999999998</v>
      </c>
      <c r="S28" s="116">
        <f t="shared" si="16"/>
        <v>348.9</v>
      </c>
      <c r="T28" s="116">
        <f t="shared" si="16"/>
        <v>427.3</v>
      </c>
      <c r="U28" s="116">
        <f t="shared" si="16"/>
        <v>453.7</v>
      </c>
    </row>
    <row r="29" spans="1:21">
      <c r="A29" s="46" t="s">
        <v>346</v>
      </c>
      <c r="B29" s="116">
        <v>2.7</v>
      </c>
      <c r="C29" s="116">
        <v>2.7</v>
      </c>
      <c r="D29" s="116">
        <v>3.3</v>
      </c>
      <c r="E29" s="116">
        <v>45.8</v>
      </c>
      <c r="F29" s="116">
        <v>46</v>
      </c>
      <c r="G29" s="116">
        <v>51.1</v>
      </c>
      <c r="H29" s="110"/>
      <c r="I29" s="116">
        <f t="shared" si="15"/>
        <v>3.9</v>
      </c>
      <c r="J29" s="116">
        <f t="shared" si="17"/>
        <v>3.9</v>
      </c>
      <c r="K29" s="116">
        <f t="shared" si="17"/>
        <v>4.7</v>
      </c>
      <c r="L29" s="116">
        <f>ROUND(E29*1.43,1)</f>
        <v>65.5</v>
      </c>
      <c r="M29" s="116">
        <f t="shared" si="13"/>
        <v>65.8</v>
      </c>
      <c r="N29" s="116">
        <f t="shared" si="13"/>
        <v>73.099999999999994</v>
      </c>
      <c r="O29" s="110"/>
      <c r="P29" s="116">
        <f t="shared" si="14"/>
        <v>19.8</v>
      </c>
      <c r="Q29" s="116">
        <f t="shared" si="14"/>
        <v>19.8</v>
      </c>
      <c r="R29" s="116">
        <f t="shared" si="14"/>
        <v>24.2</v>
      </c>
      <c r="S29" s="116">
        <f t="shared" si="16"/>
        <v>335.7</v>
      </c>
      <c r="T29" s="116">
        <f t="shared" si="16"/>
        <v>337.2</v>
      </c>
      <c r="U29" s="116">
        <f t="shared" si="16"/>
        <v>374.6</v>
      </c>
    </row>
    <row r="30" spans="1:21" ht="13.8" thickBot="1">
      <c r="A30" s="46" t="s">
        <v>347</v>
      </c>
      <c r="B30" s="116">
        <v>47.3</v>
      </c>
      <c r="C30" s="116">
        <v>47.4</v>
      </c>
      <c r="D30" s="116">
        <v>47.4</v>
      </c>
      <c r="E30" s="116">
        <v>47.4</v>
      </c>
      <c r="F30" s="116">
        <v>47.4</v>
      </c>
      <c r="G30" s="116">
        <v>47.4</v>
      </c>
      <c r="H30" s="110"/>
      <c r="I30" s="116">
        <f t="shared" si="15"/>
        <v>67.599999999999994</v>
      </c>
      <c r="J30" s="116">
        <f t="shared" si="17"/>
        <v>67.8</v>
      </c>
      <c r="K30" s="116">
        <f t="shared" si="17"/>
        <v>67.8</v>
      </c>
      <c r="L30" s="116">
        <f>ROUND(E30*1.43,1)</f>
        <v>67.8</v>
      </c>
      <c r="M30" s="116">
        <f t="shared" si="13"/>
        <v>67.8</v>
      </c>
      <c r="N30" s="116">
        <f t="shared" si="13"/>
        <v>67.8</v>
      </c>
      <c r="O30" s="110"/>
      <c r="P30" s="116">
        <f t="shared" si="14"/>
        <v>346.7</v>
      </c>
      <c r="Q30" s="116">
        <f t="shared" si="14"/>
        <v>347.4</v>
      </c>
      <c r="R30" s="116">
        <f t="shared" si="14"/>
        <v>347.4</v>
      </c>
      <c r="S30" s="116">
        <f t="shared" si="16"/>
        <v>347.4</v>
      </c>
      <c r="T30" s="116">
        <f t="shared" si="16"/>
        <v>347.4</v>
      </c>
      <c r="U30" s="116">
        <f t="shared" si="16"/>
        <v>347.4</v>
      </c>
    </row>
    <row r="31" spans="1:21">
      <c r="A31" s="155" t="s">
        <v>282</v>
      </c>
      <c r="B31" s="156">
        <v>1357.5</v>
      </c>
      <c r="C31" s="156">
        <v>1386.9</v>
      </c>
      <c r="D31" s="156">
        <v>1509.9</v>
      </c>
      <c r="E31" s="156">
        <v>1601.7</v>
      </c>
      <c r="F31" s="156">
        <v>1785</v>
      </c>
      <c r="G31" s="156">
        <v>1732.9</v>
      </c>
      <c r="H31" s="158"/>
      <c r="I31" s="156">
        <f t="shared" si="15"/>
        <v>1941.2</v>
      </c>
      <c r="J31" s="156">
        <f t="shared" si="17"/>
        <v>1983.3</v>
      </c>
      <c r="K31" s="156">
        <f t="shared" si="17"/>
        <v>2159.1999999999998</v>
      </c>
      <c r="L31" s="156">
        <f>ROUND(E31*1.43,1)</f>
        <v>2290.4</v>
      </c>
      <c r="M31" s="156">
        <f t="shared" si="13"/>
        <v>2552.6</v>
      </c>
      <c r="N31" s="156">
        <f t="shared" si="13"/>
        <v>2478</v>
      </c>
      <c r="O31" s="158"/>
      <c r="P31" s="156">
        <f t="shared" si="14"/>
        <v>9950.5</v>
      </c>
      <c r="Q31" s="156">
        <f t="shared" si="14"/>
        <v>10166</v>
      </c>
      <c r="R31" s="156">
        <f t="shared" si="14"/>
        <v>11067.6</v>
      </c>
      <c r="S31" s="156">
        <f t="shared" si="16"/>
        <v>11740.5</v>
      </c>
      <c r="T31" s="156">
        <f t="shared" si="16"/>
        <v>13084.1</v>
      </c>
      <c r="U31" s="156">
        <f t="shared" si="16"/>
        <v>12702.2</v>
      </c>
    </row>
    <row r="32" spans="1:21" ht="13.2" customHeight="1">
      <c r="A32" s="152"/>
      <c r="B32" s="547"/>
      <c r="C32" s="547"/>
      <c r="D32" s="547"/>
      <c r="E32" s="547"/>
      <c r="F32" s="547"/>
      <c r="G32" s="547"/>
      <c r="H32" s="154"/>
      <c r="I32" s="547" t="s">
        <v>310</v>
      </c>
      <c r="J32" s="547"/>
      <c r="K32" s="547"/>
      <c r="L32" s="547"/>
      <c r="M32" s="547"/>
      <c r="N32" s="547"/>
      <c r="O32" s="154"/>
      <c r="P32" s="547" t="s">
        <v>311</v>
      </c>
      <c r="Q32" s="547"/>
      <c r="R32" s="547"/>
      <c r="S32" s="547"/>
      <c r="T32" s="547"/>
      <c r="U32" s="547"/>
    </row>
    <row r="33" spans="1:21">
      <c r="A33" s="46" t="s">
        <v>341</v>
      </c>
      <c r="B33" s="119" t="s">
        <v>1102</v>
      </c>
      <c r="C33" s="119" t="s">
        <v>1102</v>
      </c>
      <c r="D33" s="119" t="s">
        <v>1102</v>
      </c>
      <c r="E33" s="119" t="s">
        <v>1102</v>
      </c>
      <c r="F33" s="505" t="s">
        <v>1102</v>
      </c>
      <c r="G33" s="505" t="s">
        <v>1102</v>
      </c>
      <c r="H33" s="109"/>
      <c r="I33" s="107">
        <f t="shared" ref="I33:N40" si="18">I5+I15+I24</f>
        <v>28413.4</v>
      </c>
      <c r="J33" s="107">
        <f t="shared" si="18"/>
        <v>27940.699999999997</v>
      </c>
      <c r="K33" s="107">
        <f t="shared" si="18"/>
        <v>27617.7</v>
      </c>
      <c r="L33" s="107">
        <f t="shared" si="18"/>
        <v>30952.9</v>
      </c>
      <c r="M33" s="107">
        <f t="shared" si="18"/>
        <v>31339.1</v>
      </c>
      <c r="N33" s="107">
        <f t="shared" si="18"/>
        <v>30233.499999999996</v>
      </c>
      <c r="O33" s="110"/>
      <c r="P33" s="107">
        <f t="shared" ref="P33:U40" si="19">P5+P15+P24</f>
        <v>145664.90000000002</v>
      </c>
      <c r="Q33" s="107">
        <f t="shared" si="19"/>
        <v>143252.70000000001</v>
      </c>
      <c r="R33" s="107">
        <f t="shared" si="19"/>
        <v>141607.79999999999</v>
      </c>
      <c r="S33" s="107">
        <f t="shared" si="19"/>
        <v>158693.9</v>
      </c>
      <c r="T33" s="107">
        <f t="shared" si="19"/>
        <v>160680.1</v>
      </c>
      <c r="U33" s="107">
        <f t="shared" si="19"/>
        <v>154993.59999999998</v>
      </c>
    </row>
    <row r="34" spans="1:21">
      <c r="A34" s="46" t="s">
        <v>342</v>
      </c>
      <c r="B34" s="119" t="s">
        <v>1102</v>
      </c>
      <c r="C34" s="119" t="s">
        <v>1102</v>
      </c>
      <c r="D34" s="119" t="s">
        <v>1102</v>
      </c>
      <c r="E34" s="119" t="s">
        <v>1102</v>
      </c>
      <c r="F34" s="119" t="s">
        <v>1102</v>
      </c>
      <c r="G34" s="505" t="s">
        <v>1102</v>
      </c>
      <c r="H34" s="109"/>
      <c r="I34" s="107">
        <f t="shared" si="18"/>
        <v>142.4</v>
      </c>
      <c r="J34" s="107">
        <f t="shared" si="18"/>
        <v>157.4</v>
      </c>
      <c r="K34" s="107">
        <f t="shared" si="18"/>
        <v>158.5</v>
      </c>
      <c r="L34" s="107">
        <f t="shared" si="18"/>
        <v>159.20000000000002</v>
      </c>
      <c r="M34" s="107">
        <f t="shared" si="18"/>
        <v>158.39999999999998</v>
      </c>
      <c r="N34" s="107">
        <f t="shared" si="18"/>
        <v>157.49999999999997</v>
      </c>
      <c r="O34" s="110"/>
      <c r="P34" s="107">
        <f t="shared" si="19"/>
        <v>746.09999999999991</v>
      </c>
      <c r="Q34" s="107">
        <f t="shared" si="19"/>
        <v>822.09999999999991</v>
      </c>
      <c r="R34" s="107">
        <f t="shared" si="19"/>
        <v>827.80000000000007</v>
      </c>
      <c r="S34" s="107">
        <f t="shared" si="19"/>
        <v>831.6</v>
      </c>
      <c r="T34" s="107">
        <f t="shared" si="19"/>
        <v>827.4</v>
      </c>
      <c r="U34" s="107">
        <f t="shared" si="19"/>
        <v>822.9</v>
      </c>
    </row>
    <row r="35" spans="1:21">
      <c r="A35" s="46" t="s">
        <v>343</v>
      </c>
      <c r="B35" s="119" t="s">
        <v>1102</v>
      </c>
      <c r="C35" s="119" t="s">
        <v>1102</v>
      </c>
      <c r="D35" s="119" t="s">
        <v>1102</v>
      </c>
      <c r="E35" s="119" t="s">
        <v>1102</v>
      </c>
      <c r="F35" s="119" t="s">
        <v>1102</v>
      </c>
      <c r="G35" s="505" t="s">
        <v>1102</v>
      </c>
      <c r="H35" s="109"/>
      <c r="I35" s="107">
        <f t="shared" si="18"/>
        <v>3590.6</v>
      </c>
      <c r="J35" s="107">
        <f t="shared" si="18"/>
        <v>3561.9</v>
      </c>
      <c r="K35" s="107">
        <f t="shared" si="18"/>
        <v>3543.7</v>
      </c>
      <c r="L35" s="107">
        <f t="shared" si="18"/>
        <v>3529.2</v>
      </c>
      <c r="M35" s="107">
        <f t="shared" si="18"/>
        <v>3517.4</v>
      </c>
      <c r="N35" s="107">
        <f t="shared" si="18"/>
        <v>3496.8999999999996</v>
      </c>
      <c r="O35" s="110"/>
      <c r="P35" s="107">
        <f t="shared" si="19"/>
        <v>18675.099999999999</v>
      </c>
      <c r="Q35" s="107">
        <f t="shared" si="19"/>
        <v>18526.3</v>
      </c>
      <c r="R35" s="107">
        <f t="shared" si="19"/>
        <v>18430.099999999999</v>
      </c>
      <c r="S35" s="107">
        <f t="shared" si="19"/>
        <v>18353.400000000001</v>
      </c>
      <c r="T35" s="107">
        <f t="shared" si="19"/>
        <v>18290.599999999999</v>
      </c>
      <c r="U35" s="107">
        <f t="shared" si="19"/>
        <v>18183.5</v>
      </c>
    </row>
    <row r="36" spans="1:21">
      <c r="A36" s="46" t="s">
        <v>344</v>
      </c>
      <c r="B36" s="119" t="s">
        <v>1102</v>
      </c>
      <c r="C36" s="119" t="s">
        <v>1102</v>
      </c>
      <c r="D36" s="119" t="s">
        <v>1102</v>
      </c>
      <c r="E36" s="119" t="s">
        <v>1102</v>
      </c>
      <c r="F36" s="119" t="s">
        <v>1102</v>
      </c>
      <c r="G36" s="505" t="s">
        <v>1102</v>
      </c>
      <c r="H36" s="109"/>
      <c r="I36" s="107">
        <f t="shared" si="18"/>
        <v>1212.5999999999999</v>
      </c>
      <c r="J36" s="107">
        <f t="shared" si="18"/>
        <v>1211.3</v>
      </c>
      <c r="K36" s="107">
        <f t="shared" si="18"/>
        <v>1189.3</v>
      </c>
      <c r="L36" s="107">
        <f t="shared" si="18"/>
        <v>1166.8999999999999</v>
      </c>
      <c r="M36" s="107">
        <f t="shared" si="18"/>
        <v>1164.5999999999999</v>
      </c>
      <c r="N36" s="107">
        <f t="shared" si="18"/>
        <v>1155.7</v>
      </c>
      <c r="O36" s="110"/>
      <c r="P36" s="107">
        <f t="shared" si="19"/>
        <v>6244.7000000000007</v>
      </c>
      <c r="Q36" s="107">
        <f t="shared" si="19"/>
        <v>6238.9999999999991</v>
      </c>
      <c r="R36" s="107">
        <f t="shared" si="19"/>
        <v>6125.6</v>
      </c>
      <c r="S36" s="107">
        <f t="shared" si="19"/>
        <v>6010.5</v>
      </c>
      <c r="T36" s="107">
        <f t="shared" si="19"/>
        <v>5999.1</v>
      </c>
      <c r="U36" s="107">
        <f t="shared" si="19"/>
        <v>5953.9</v>
      </c>
    </row>
    <row r="37" spans="1:21">
      <c r="A37" s="46" t="s">
        <v>345</v>
      </c>
      <c r="B37" s="119" t="s">
        <v>1102</v>
      </c>
      <c r="C37" s="119" t="s">
        <v>1102</v>
      </c>
      <c r="D37" s="119" t="s">
        <v>1102</v>
      </c>
      <c r="E37" s="119" t="s">
        <v>1102</v>
      </c>
      <c r="F37" s="119" t="s">
        <v>1102</v>
      </c>
      <c r="G37" s="505" t="s">
        <v>1102</v>
      </c>
      <c r="H37" s="109"/>
      <c r="I37" s="107">
        <f t="shared" si="18"/>
        <v>434</v>
      </c>
      <c r="J37" s="107">
        <f t="shared" si="18"/>
        <v>433.1</v>
      </c>
      <c r="K37" s="107">
        <f t="shared" si="18"/>
        <v>412.9</v>
      </c>
      <c r="L37" s="107">
        <f t="shared" si="18"/>
        <v>436.90000000000003</v>
      </c>
      <c r="M37" s="107">
        <f t="shared" si="18"/>
        <v>442.1</v>
      </c>
      <c r="N37" s="107">
        <f t="shared" si="18"/>
        <v>474.6</v>
      </c>
      <c r="O37" s="110"/>
      <c r="P37" s="107">
        <f t="shared" si="19"/>
        <v>2239.4</v>
      </c>
      <c r="Q37" s="107">
        <f t="shared" si="19"/>
        <v>2234.8999999999996</v>
      </c>
      <c r="R37" s="107">
        <f t="shared" si="19"/>
        <v>2127.9</v>
      </c>
      <c r="S37" s="107">
        <f t="shared" si="19"/>
        <v>2251.9</v>
      </c>
      <c r="T37" s="107">
        <f t="shared" si="19"/>
        <v>2276.8000000000002</v>
      </c>
      <c r="U37" s="107">
        <f t="shared" si="19"/>
        <v>2443</v>
      </c>
    </row>
    <row r="38" spans="1:21">
      <c r="A38" s="46" t="s">
        <v>346</v>
      </c>
      <c r="B38" s="119" t="s">
        <v>1102</v>
      </c>
      <c r="C38" s="119" t="s">
        <v>1102</v>
      </c>
      <c r="D38" s="119" t="s">
        <v>1102</v>
      </c>
      <c r="E38" s="119" t="s">
        <v>1102</v>
      </c>
      <c r="F38" s="119" t="s">
        <v>1102</v>
      </c>
      <c r="G38" s="505" t="s">
        <v>1102</v>
      </c>
      <c r="H38" s="109"/>
      <c r="I38" s="107">
        <f t="shared" si="18"/>
        <v>14.2</v>
      </c>
      <c r="J38" s="107">
        <f t="shared" si="18"/>
        <v>14.2</v>
      </c>
      <c r="K38" s="107">
        <f t="shared" si="18"/>
        <v>30.2</v>
      </c>
      <c r="L38" s="107">
        <f t="shared" si="18"/>
        <v>537.40000000000009</v>
      </c>
      <c r="M38" s="107">
        <f t="shared" si="18"/>
        <v>538.5</v>
      </c>
      <c r="N38" s="107">
        <f t="shared" si="18"/>
        <v>609.9</v>
      </c>
      <c r="O38" s="110"/>
      <c r="P38" s="107">
        <f t="shared" si="19"/>
        <v>72.399999999999991</v>
      </c>
      <c r="Q38" s="107">
        <f t="shared" si="19"/>
        <v>72.399999999999991</v>
      </c>
      <c r="R38" s="107">
        <f t="shared" si="19"/>
        <v>154.6</v>
      </c>
      <c r="S38" s="107">
        <f t="shared" si="19"/>
        <v>2749.1</v>
      </c>
      <c r="T38" s="107">
        <f t="shared" si="19"/>
        <v>2755.2999999999997</v>
      </c>
      <c r="U38" s="107">
        <f t="shared" si="19"/>
        <v>3120.4</v>
      </c>
    </row>
    <row r="39" spans="1:21" ht="13.8" thickBot="1">
      <c r="A39" s="46" t="s">
        <v>347</v>
      </c>
      <c r="B39" s="119" t="s">
        <v>1102</v>
      </c>
      <c r="C39" s="119" t="s">
        <v>1102</v>
      </c>
      <c r="D39" s="119" t="s">
        <v>1102</v>
      </c>
      <c r="E39" s="119" t="s">
        <v>1102</v>
      </c>
      <c r="F39" s="119" t="s">
        <v>1102</v>
      </c>
      <c r="G39" s="505" t="s">
        <v>1102</v>
      </c>
      <c r="H39" s="109"/>
      <c r="I39" s="107">
        <f t="shared" si="18"/>
        <v>3490.1</v>
      </c>
      <c r="J39" s="107">
        <f t="shared" si="18"/>
        <v>4856.7000000000007</v>
      </c>
      <c r="K39" s="107">
        <f t="shared" si="18"/>
        <v>5313.2000000000007</v>
      </c>
      <c r="L39" s="107">
        <f t="shared" si="18"/>
        <v>5572.7</v>
      </c>
      <c r="M39" s="107">
        <f t="shared" si="18"/>
        <v>6036.9</v>
      </c>
      <c r="N39" s="107">
        <f t="shared" si="18"/>
        <v>6329.6</v>
      </c>
      <c r="O39" s="110"/>
      <c r="P39" s="107">
        <f t="shared" si="19"/>
        <v>17837</v>
      </c>
      <c r="Q39" s="107">
        <f t="shared" si="19"/>
        <v>24814.9</v>
      </c>
      <c r="R39" s="107">
        <f t="shared" si="19"/>
        <v>27148.100000000002</v>
      </c>
      <c r="S39" s="107">
        <f t="shared" si="19"/>
        <v>28474.2</v>
      </c>
      <c r="T39" s="107">
        <f t="shared" si="19"/>
        <v>30870.9</v>
      </c>
      <c r="U39" s="107">
        <f t="shared" si="19"/>
        <v>32372.600000000002</v>
      </c>
    </row>
    <row r="40" spans="1:21" ht="13.8" thickBot="1">
      <c r="A40" s="161" t="s">
        <v>282</v>
      </c>
      <c r="B40" s="120" t="s">
        <v>1102</v>
      </c>
      <c r="C40" s="120" t="s">
        <v>1102</v>
      </c>
      <c r="D40" s="120" t="s">
        <v>1102</v>
      </c>
      <c r="E40" s="120" t="s">
        <v>1102</v>
      </c>
      <c r="F40" s="120" t="s">
        <v>1102</v>
      </c>
      <c r="G40" s="120" t="s">
        <v>1102</v>
      </c>
      <c r="H40" s="157"/>
      <c r="I40" s="162">
        <f t="shared" si="18"/>
        <v>37297.300000000003</v>
      </c>
      <c r="J40" s="162">
        <f t="shared" si="18"/>
        <v>38175.300000000003</v>
      </c>
      <c r="K40" s="162">
        <f t="shared" si="18"/>
        <v>38265.5</v>
      </c>
      <c r="L40" s="162">
        <f t="shared" si="18"/>
        <v>42355.199999999997</v>
      </c>
      <c r="M40" s="162">
        <f t="shared" si="18"/>
        <v>43197</v>
      </c>
      <c r="N40" s="162">
        <f t="shared" si="18"/>
        <v>42457.700000000004</v>
      </c>
      <c r="O40" s="158"/>
      <c r="P40" s="162">
        <f t="shared" si="19"/>
        <v>191479.59999999998</v>
      </c>
      <c r="Q40" s="162">
        <f t="shared" si="19"/>
        <v>195962.30000000002</v>
      </c>
      <c r="R40" s="162">
        <f t="shared" si="19"/>
        <v>196421.9</v>
      </c>
      <c r="S40" s="162">
        <f t="shared" si="19"/>
        <v>217364.6</v>
      </c>
      <c r="T40" s="162">
        <f t="shared" si="19"/>
        <v>221700.19999999998</v>
      </c>
      <c r="U40" s="162">
        <f t="shared" si="19"/>
        <v>217889.90000000002</v>
      </c>
    </row>
    <row r="41" spans="1:21" ht="16.2" thickTop="1">
      <c r="A41" s="163" t="s">
        <v>1103</v>
      </c>
      <c r="B41" s="28"/>
      <c r="C41" s="28"/>
      <c r="D41" s="28"/>
      <c r="E41" s="28"/>
      <c r="F41" s="28"/>
      <c r="G41" s="28"/>
      <c r="H41" s="49"/>
      <c r="I41" s="28"/>
      <c r="J41" s="28"/>
      <c r="K41" s="28"/>
      <c r="L41" s="28"/>
      <c r="M41" s="28"/>
      <c r="N41" s="28"/>
      <c r="O41" s="49"/>
      <c r="P41" s="28"/>
      <c r="Q41" s="28"/>
      <c r="R41" s="28"/>
      <c r="S41" s="28"/>
      <c r="T41" s="28"/>
      <c r="U41" s="28"/>
    </row>
    <row r="42" spans="1:21">
      <c r="A42" s="18" t="s">
        <v>213</v>
      </c>
      <c r="B42" s="18"/>
      <c r="C42" s="18"/>
      <c r="D42" s="18"/>
      <c r="E42" s="18"/>
      <c r="F42" s="18"/>
      <c r="G42" s="18"/>
      <c r="H42" s="18"/>
    </row>
    <row r="43" spans="1:21"/>
    <row r="44" spans="1:21"/>
    <row r="45" spans="1:21"/>
  </sheetData>
  <sheetProtection password="CAF1" sheet="1" objects="1" scenarios="1" formatCells="0" formatColumns="0" formatRows="0" insertColumns="0" insertRows="0" insertHyperlinks="0" deleteColumns="0" deleteRows="0" sort="0" autoFilter="0" pivotTables="0"/>
  <mergeCells count="16">
    <mergeCell ref="B32:G32"/>
    <mergeCell ref="I32:N32"/>
    <mergeCell ref="P32:U32"/>
    <mergeCell ref="I14:N14"/>
    <mergeCell ref="P14:U14"/>
    <mergeCell ref="B14:G14"/>
    <mergeCell ref="B23:G23"/>
    <mergeCell ref="A2:A3"/>
    <mergeCell ref="I23:N23"/>
    <mergeCell ref="P23:U23"/>
    <mergeCell ref="B4:G4"/>
    <mergeCell ref="I4:N4"/>
    <mergeCell ref="B2:G2"/>
    <mergeCell ref="I2:N2"/>
    <mergeCell ref="P2:U2"/>
    <mergeCell ref="P4:U4"/>
  </mergeCells>
  <phoneticPr fontId="7" type="noConversion"/>
  <hyperlinks>
    <hyperlink ref="A42:H42" location="Титул!A1" display="Вернуться к Содержанию"/>
    <hyperlink ref="A42" location="Contents!A1" display="Back to the Contents"/>
  </hyperlinks>
  <pageMargins left="0.23622047244094491" right="0.23622047244094491" top="0.74803149606299213" bottom="0.74803149606299213" header="0.31496062992125984" footer="0.31496062992125984"/>
  <pageSetup paperSize="9" firstPageNumber="8" orientation="landscape" useFirstPageNumber="1" r:id="rId1"/>
  <headerFooter alignWithMargins="0">
    <oddHeader>&amp;L&amp;"Times New Roman,полужирный"Gazprom in Figures 2006-2010&amp;R&amp;"Times New Roman,полужирный"Factbook</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66</vt:i4>
      </vt:variant>
    </vt:vector>
  </HeadingPairs>
  <TitlesOfParts>
    <vt:vector size="99" baseType="lpstr">
      <vt:lpstr>Contents</vt:lpstr>
      <vt:lpstr>Preface</vt:lpstr>
      <vt:lpstr>Gazprom globaly</vt:lpstr>
      <vt:lpstr>Macroeconomics</vt:lpstr>
      <vt:lpstr>Indicators</vt:lpstr>
      <vt:lpstr>Reserves classification</vt:lpstr>
      <vt:lpstr>Total reserves</vt:lpstr>
      <vt:lpstr>Subsidiaries' reserves</vt:lpstr>
      <vt:lpstr>Reserves set out by regions</vt:lpstr>
      <vt:lpstr>Change in reserves</vt:lpstr>
      <vt:lpstr>Licenses</vt:lpstr>
      <vt:lpstr>Total production</vt:lpstr>
      <vt:lpstr>Gas production (Q)</vt:lpstr>
      <vt:lpstr>Liquid hydrocarbons prod (Q)</vt:lpstr>
      <vt:lpstr>Production set out by regions</vt:lpstr>
      <vt:lpstr>Exploration and drilling</vt:lpstr>
      <vt:lpstr>Foreighn projects</vt:lpstr>
      <vt:lpstr>Russian projects</vt:lpstr>
      <vt:lpstr>Transportation</vt:lpstr>
      <vt:lpstr>Transportation projects</vt:lpstr>
      <vt:lpstr>UGSF</vt:lpstr>
      <vt:lpstr>Refining</vt:lpstr>
      <vt:lpstr>Refining - subsidiaries</vt:lpstr>
      <vt:lpstr>Refineries, processing plants</vt:lpstr>
      <vt:lpstr>Electric power</vt:lpstr>
      <vt:lpstr>Gas sales</vt:lpstr>
      <vt:lpstr>Gas market in Russia</vt:lpstr>
      <vt:lpstr>Sales of liquid hydrocarbons</vt:lpstr>
      <vt:lpstr>Other sales (electr., transp.)</vt:lpstr>
      <vt:lpstr>Ecology</vt:lpstr>
      <vt:lpstr>Personnel</vt:lpstr>
      <vt:lpstr>Convertion table</vt:lpstr>
      <vt:lpstr>Glossary</vt:lpstr>
      <vt:lpstr>Personnel!_Toc166922594</vt:lpstr>
      <vt:lpstr>'Convertion table'!_Toc260216930</vt:lpstr>
      <vt:lpstr>Glossary!_Toc260216931</vt:lpstr>
      <vt:lpstr>'Gazprom globaly'!_Toc261606054</vt:lpstr>
      <vt:lpstr>Macroeconomics!_Toc261606055</vt:lpstr>
      <vt:lpstr>Indicators!_Toc261606056</vt:lpstr>
      <vt:lpstr>Indicators!_Toc261618112</vt:lpstr>
      <vt:lpstr>'Reserves classification'!_Toc261618113</vt:lpstr>
      <vt:lpstr>Licenses!_Toc262475146</vt:lpstr>
      <vt:lpstr>'Exploration and drilling'!_Toc262475148</vt:lpstr>
      <vt:lpstr>Transportation!_Toc262475151</vt:lpstr>
      <vt:lpstr>UGSF!_Toc262475153</vt:lpstr>
      <vt:lpstr>Refining!_Toc262475155</vt:lpstr>
      <vt:lpstr>'Electric power'!_Toc262475156</vt:lpstr>
      <vt:lpstr>'Gas sales'!_Toc262475157</vt:lpstr>
      <vt:lpstr>'Gas market in Russia'!_Toc262475158</vt:lpstr>
      <vt:lpstr>'Sales of liquid hydrocarbons'!_Toc262475159</vt:lpstr>
      <vt:lpstr>'Other sales (electr., transp.)'!_Toc262475160</vt:lpstr>
      <vt:lpstr>Ecology!_Toc262475161</vt:lpstr>
      <vt:lpstr>'Foreighn projects'!_Toc262629694</vt:lpstr>
      <vt:lpstr>'Russian projects'!_Toc263068580</vt:lpstr>
      <vt:lpstr>'Russian projects'!_Toc263428332</vt:lpstr>
      <vt:lpstr>'Transportation projects'!_Toc263428334</vt:lpstr>
      <vt:lpstr>'Russian projects'!OLE_LINK46</vt:lpstr>
      <vt:lpstr>Personnel!OLE_LINK5</vt:lpstr>
      <vt:lpstr>'Change in reserves'!Заголовки_для_печати</vt:lpstr>
      <vt:lpstr>'Foreighn projects'!Заголовки_для_печати</vt:lpstr>
      <vt:lpstr>Licenses!Заголовки_для_печати</vt:lpstr>
      <vt:lpstr>'Liquid hydrocarbons prod (Q)'!Заголовки_для_печати</vt:lpstr>
      <vt:lpstr>'Refineries, processing plants'!Заголовки_для_печати</vt:lpstr>
      <vt:lpstr>'Reserves set out by regions'!Заголовки_для_печати</vt:lpstr>
      <vt:lpstr>'Russian projects'!Заголовки_для_печати</vt:lpstr>
      <vt:lpstr>'Transportation projects'!Заголовки_для_печати</vt:lpstr>
      <vt:lpstr>'Change in reserves'!Область_печати</vt:lpstr>
      <vt:lpstr>Contents!Область_печати</vt:lpstr>
      <vt:lpstr>'Convertion table'!Область_печати</vt:lpstr>
      <vt:lpstr>Ecology!Область_печати</vt:lpstr>
      <vt:lpstr>'Electric power'!Область_печати</vt:lpstr>
      <vt:lpstr>'Exploration and drilling'!Область_печати</vt:lpstr>
      <vt:lpstr>'Foreighn projects'!Область_печати</vt:lpstr>
      <vt:lpstr>'Gas market in Russia'!Область_печати</vt:lpstr>
      <vt:lpstr>'Gas production (Q)'!Область_печати</vt:lpstr>
      <vt:lpstr>'Gas sales'!Область_печати</vt:lpstr>
      <vt:lpstr>'Gazprom globaly'!Область_печати</vt:lpstr>
      <vt:lpstr>Glossary!Область_печати</vt:lpstr>
      <vt:lpstr>Indicators!Область_печати</vt:lpstr>
      <vt:lpstr>Licenses!Область_печати</vt:lpstr>
      <vt:lpstr>'Liquid hydrocarbons prod (Q)'!Область_печати</vt:lpstr>
      <vt:lpstr>Macroeconomics!Область_печати</vt:lpstr>
      <vt:lpstr>'Other sales (electr., transp.)'!Область_печати</vt:lpstr>
      <vt:lpstr>Personnel!Область_печати</vt:lpstr>
      <vt:lpstr>Preface!Область_печати</vt:lpstr>
      <vt:lpstr>'Production set out by regions'!Область_печати</vt:lpstr>
      <vt:lpstr>'Refineries, processing plants'!Область_печати</vt:lpstr>
      <vt:lpstr>Refining!Область_печати</vt:lpstr>
      <vt:lpstr>'Refining - subsidiaries'!Область_печати</vt:lpstr>
      <vt:lpstr>'Reserves classification'!Область_печати</vt:lpstr>
      <vt:lpstr>'Reserves set out by regions'!Область_печати</vt:lpstr>
      <vt:lpstr>'Russian projects'!Область_печати</vt:lpstr>
      <vt:lpstr>'Sales of liquid hydrocarbons'!Область_печати</vt:lpstr>
      <vt:lpstr>'Subsidiaries'' reserves'!Область_печати</vt:lpstr>
      <vt:lpstr>'Total production'!Область_печати</vt:lpstr>
      <vt:lpstr>'Total reserves'!Область_печати</vt:lpstr>
      <vt:lpstr>Transportation!Область_печати</vt:lpstr>
      <vt:lpstr>'Transportation projects'!Область_печати</vt:lpstr>
      <vt:lpstr>UGSF!Область_печати</vt:lpstr>
    </vt:vector>
  </TitlesOfParts>
  <Company>horizon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shliapin</dc:creator>
  <cp:lastModifiedBy>Yudin</cp:lastModifiedBy>
  <cp:lastPrinted>2011-07-22T14:47:09Z</cp:lastPrinted>
  <dcterms:created xsi:type="dcterms:W3CDTF">2010-05-11T07:55:03Z</dcterms:created>
  <dcterms:modified xsi:type="dcterms:W3CDTF">2011-08-03T07:01:09Z</dcterms:modified>
</cp:coreProperties>
</file>